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mc\Desktop\"/>
    </mc:Choice>
  </mc:AlternateContent>
  <bookViews>
    <workbookView xWindow="0" yWindow="0" windowWidth="30225" windowHeight="10995"/>
  </bookViews>
  <sheets>
    <sheet name="서울성모_24년~25년도 진폐정도관리_오경순_26.02." sheetId="1" r:id="rId1"/>
  </sheets>
  <definedNames>
    <definedName name="_xlnm._FilterDatabase" localSheetId="0" hidden="1">'서울성모_24년~25년도 진폐정도관리_오경순_26.02.'!$A$1:$I$1764</definedName>
  </definedNames>
  <calcPr calcId="0"/>
</workbook>
</file>

<file path=xl/calcChain.xml><?xml version="1.0" encoding="utf-8"?>
<calcChain xmlns="http://schemas.openxmlformats.org/spreadsheetml/2006/main">
  <c r="A2" i="1" l="1"/>
  <c r="B2" i="1"/>
  <c r="C2" i="1"/>
  <c r="D2" i="1"/>
  <c r="E2" i="1"/>
  <c r="F2" i="1"/>
  <c r="G2" i="1"/>
  <c r="H2" i="1"/>
  <c r="I2" i="1"/>
  <c r="A3" i="1"/>
  <c r="B3" i="1"/>
  <c r="C3" i="1"/>
  <c r="D3" i="1"/>
  <c r="E3" i="1"/>
  <c r="F3" i="1"/>
  <c r="G3" i="1"/>
  <c r="H3" i="1"/>
  <c r="I3" i="1"/>
  <c r="A4" i="1"/>
  <c r="B4" i="1"/>
  <c r="C4" i="1"/>
  <c r="D4" i="1"/>
  <c r="E4" i="1"/>
  <c r="F4" i="1"/>
  <c r="G4" i="1"/>
  <c r="H4" i="1"/>
  <c r="I4" i="1"/>
  <c r="A5" i="1"/>
  <c r="B5" i="1"/>
  <c r="C5" i="1"/>
  <c r="D5" i="1"/>
  <c r="E5" i="1"/>
  <c r="F5" i="1"/>
  <c r="G5" i="1"/>
  <c r="H5" i="1"/>
  <c r="I5" i="1"/>
  <c r="A6" i="1"/>
  <c r="B6" i="1"/>
  <c r="C6" i="1"/>
  <c r="D6" i="1"/>
  <c r="E6" i="1"/>
  <c r="F6" i="1"/>
  <c r="G6" i="1"/>
  <c r="H6" i="1"/>
  <c r="I6" i="1"/>
  <c r="A7" i="1"/>
  <c r="B7" i="1"/>
  <c r="C7" i="1"/>
  <c r="D7" i="1"/>
  <c r="E7" i="1"/>
  <c r="F7" i="1"/>
  <c r="G7" i="1"/>
  <c r="H7" i="1"/>
  <c r="I7" i="1"/>
  <c r="A8" i="1"/>
  <c r="B8" i="1"/>
  <c r="C8" i="1"/>
  <c r="D8" i="1"/>
  <c r="E8" i="1"/>
  <c r="F8" i="1"/>
  <c r="G8" i="1"/>
  <c r="H8" i="1"/>
  <c r="I8" i="1"/>
  <c r="A9" i="1"/>
  <c r="B9" i="1"/>
  <c r="C9" i="1"/>
  <c r="D9" i="1"/>
  <c r="E9" i="1"/>
  <c r="F9" i="1"/>
  <c r="G9" i="1"/>
  <c r="H9" i="1"/>
  <c r="I9" i="1"/>
  <c r="A10" i="1"/>
  <c r="B10" i="1"/>
  <c r="C10" i="1"/>
  <c r="D10" i="1"/>
  <c r="E10" i="1"/>
  <c r="F10" i="1"/>
  <c r="G10" i="1"/>
  <c r="H10" i="1"/>
  <c r="I10" i="1"/>
  <c r="A11" i="1"/>
  <c r="B11" i="1"/>
  <c r="C11" i="1"/>
  <c r="D11" i="1"/>
  <c r="E11" i="1"/>
  <c r="F11" i="1"/>
  <c r="G11" i="1"/>
  <c r="H11" i="1"/>
  <c r="I11" i="1"/>
  <c r="A12" i="1"/>
  <c r="B12" i="1"/>
  <c r="C12" i="1"/>
  <c r="D12" i="1"/>
  <c r="E12" i="1"/>
  <c r="F12" i="1"/>
  <c r="G12" i="1"/>
  <c r="H12" i="1"/>
  <c r="I12" i="1"/>
  <c r="A13" i="1"/>
  <c r="B13" i="1"/>
  <c r="C13" i="1"/>
  <c r="D13" i="1"/>
  <c r="E13" i="1"/>
  <c r="F13" i="1"/>
  <c r="G13" i="1"/>
  <c r="H13" i="1"/>
  <c r="I13" i="1"/>
  <c r="A14" i="1"/>
  <c r="B14" i="1"/>
  <c r="C14" i="1"/>
  <c r="D14" i="1"/>
  <c r="E14" i="1"/>
  <c r="F14" i="1"/>
  <c r="G14" i="1"/>
  <c r="H14" i="1"/>
  <c r="I14" i="1"/>
  <c r="A15" i="1"/>
  <c r="B15" i="1"/>
  <c r="C15" i="1"/>
  <c r="D15" i="1"/>
  <c r="E15" i="1"/>
  <c r="F15" i="1"/>
  <c r="G15" i="1"/>
  <c r="H15" i="1"/>
  <c r="I15" i="1"/>
  <c r="A16" i="1"/>
  <c r="B16" i="1"/>
  <c r="C16" i="1"/>
  <c r="D16" i="1"/>
  <c r="E16" i="1"/>
  <c r="F16" i="1"/>
  <c r="G16" i="1"/>
  <c r="H16" i="1"/>
  <c r="I16" i="1"/>
  <c r="A17" i="1"/>
  <c r="B17" i="1"/>
  <c r="C17" i="1"/>
  <c r="D17" i="1"/>
  <c r="E17" i="1"/>
  <c r="F17" i="1"/>
  <c r="G17" i="1"/>
  <c r="H17" i="1"/>
  <c r="I17" i="1"/>
  <c r="A18" i="1"/>
  <c r="B18" i="1"/>
  <c r="C18" i="1"/>
  <c r="D18" i="1"/>
  <c r="E18" i="1"/>
  <c r="F18" i="1"/>
  <c r="G18" i="1"/>
  <c r="H18" i="1"/>
  <c r="I18" i="1"/>
  <c r="A19" i="1"/>
  <c r="B19" i="1"/>
  <c r="C19" i="1"/>
  <c r="D19" i="1"/>
  <c r="E19" i="1"/>
  <c r="F19" i="1"/>
  <c r="G19" i="1"/>
  <c r="H19" i="1"/>
  <c r="I19" i="1"/>
  <c r="A20" i="1"/>
  <c r="B20" i="1"/>
  <c r="C20" i="1"/>
  <c r="D20" i="1"/>
  <c r="E20" i="1"/>
  <c r="F20" i="1"/>
  <c r="G20" i="1"/>
  <c r="H20" i="1"/>
  <c r="I20" i="1"/>
  <c r="A21" i="1"/>
  <c r="B21" i="1"/>
  <c r="C21" i="1"/>
  <c r="D21" i="1"/>
  <c r="E21" i="1"/>
  <c r="F21" i="1"/>
  <c r="G21" i="1"/>
  <c r="H21" i="1"/>
  <c r="I21" i="1"/>
  <c r="A22" i="1"/>
  <c r="B22" i="1"/>
  <c r="C22" i="1"/>
  <c r="D22" i="1"/>
  <c r="E22" i="1"/>
  <c r="F22" i="1"/>
  <c r="G22" i="1"/>
  <c r="H22" i="1"/>
  <c r="I22" i="1"/>
  <c r="A23" i="1"/>
  <c r="B23" i="1"/>
  <c r="C23" i="1"/>
  <c r="D23" i="1"/>
  <c r="E23" i="1"/>
  <c r="F23" i="1"/>
  <c r="G23" i="1"/>
  <c r="H23" i="1"/>
  <c r="I23" i="1"/>
  <c r="A24" i="1"/>
  <c r="B24" i="1"/>
  <c r="C24" i="1"/>
  <c r="D24" i="1"/>
  <c r="E24" i="1"/>
  <c r="F24" i="1"/>
  <c r="G24" i="1"/>
  <c r="H24" i="1"/>
  <c r="I24" i="1"/>
  <c r="A25" i="1"/>
  <c r="B25" i="1"/>
  <c r="C25" i="1"/>
  <c r="D25" i="1"/>
  <c r="E25" i="1"/>
  <c r="F25" i="1"/>
  <c r="G25" i="1"/>
  <c r="H25" i="1"/>
  <c r="I25" i="1"/>
  <c r="A26" i="1"/>
  <c r="B26" i="1"/>
  <c r="C26" i="1"/>
  <c r="D26" i="1"/>
  <c r="E26" i="1"/>
  <c r="F26" i="1"/>
  <c r="G26" i="1"/>
  <c r="H26" i="1"/>
  <c r="I26" i="1"/>
  <c r="A27" i="1"/>
  <c r="B27" i="1"/>
  <c r="C27" i="1"/>
  <c r="D27" i="1"/>
  <c r="E27" i="1"/>
  <c r="F27" i="1"/>
  <c r="G27" i="1"/>
  <c r="H27" i="1"/>
  <c r="I27" i="1"/>
  <c r="A28" i="1"/>
  <c r="B28" i="1"/>
  <c r="C28" i="1"/>
  <c r="D28" i="1"/>
  <c r="E28" i="1"/>
  <c r="F28" i="1"/>
  <c r="G28" i="1"/>
  <c r="H28" i="1"/>
  <c r="I28" i="1"/>
  <c r="A29" i="1"/>
  <c r="B29" i="1"/>
  <c r="C29" i="1"/>
  <c r="D29" i="1"/>
  <c r="E29" i="1"/>
  <c r="F29" i="1"/>
  <c r="G29" i="1"/>
  <c r="H29" i="1"/>
  <c r="I29" i="1"/>
  <c r="A30" i="1"/>
  <c r="B30" i="1"/>
  <c r="C30" i="1"/>
  <c r="D30" i="1"/>
  <c r="E30" i="1"/>
  <c r="F30" i="1"/>
  <c r="G30" i="1"/>
  <c r="H30" i="1"/>
  <c r="I30" i="1"/>
  <c r="A31" i="1"/>
  <c r="B31" i="1"/>
  <c r="C31" i="1"/>
  <c r="D31" i="1"/>
  <c r="E31" i="1"/>
  <c r="F31" i="1"/>
  <c r="G31" i="1"/>
  <c r="H31" i="1"/>
  <c r="I31" i="1"/>
  <c r="A32" i="1"/>
  <c r="B32" i="1"/>
  <c r="C32" i="1"/>
  <c r="D32" i="1"/>
  <c r="E32" i="1"/>
  <c r="F32" i="1"/>
  <c r="G32" i="1"/>
  <c r="H32" i="1"/>
  <c r="I32" i="1"/>
  <c r="A33" i="1"/>
  <c r="B33" i="1"/>
  <c r="C33" i="1"/>
  <c r="D33" i="1"/>
  <c r="E33" i="1"/>
  <c r="F33" i="1"/>
  <c r="G33" i="1"/>
  <c r="H33" i="1"/>
  <c r="I33" i="1"/>
  <c r="A34" i="1"/>
  <c r="B34" i="1"/>
  <c r="C34" i="1"/>
  <c r="D34" i="1"/>
  <c r="E34" i="1"/>
  <c r="F34" i="1"/>
  <c r="G34" i="1"/>
  <c r="H34" i="1"/>
  <c r="I34" i="1"/>
  <c r="A35" i="1"/>
  <c r="B35" i="1"/>
  <c r="C35" i="1"/>
  <c r="D35" i="1"/>
  <c r="E35" i="1"/>
  <c r="F35" i="1"/>
  <c r="G35" i="1"/>
  <c r="H35" i="1"/>
  <c r="I35" i="1"/>
  <c r="A36" i="1"/>
  <c r="B36" i="1"/>
  <c r="C36" i="1"/>
  <c r="D36" i="1"/>
  <c r="E36" i="1"/>
  <c r="F36" i="1"/>
  <c r="G36" i="1"/>
  <c r="H36" i="1"/>
  <c r="I36" i="1"/>
  <c r="A37" i="1"/>
  <c r="B37" i="1"/>
  <c r="C37" i="1"/>
  <c r="D37" i="1"/>
  <c r="E37" i="1"/>
  <c r="F37" i="1"/>
  <c r="G37" i="1"/>
  <c r="H37" i="1"/>
  <c r="I37" i="1"/>
  <c r="A38" i="1"/>
  <c r="B38" i="1"/>
  <c r="C38" i="1"/>
  <c r="D38" i="1"/>
  <c r="E38" i="1"/>
  <c r="F38" i="1"/>
  <c r="G38" i="1"/>
  <c r="H38" i="1"/>
  <c r="I38" i="1"/>
  <c r="A39" i="1"/>
  <c r="B39" i="1"/>
  <c r="C39" i="1"/>
  <c r="D39" i="1"/>
  <c r="E39" i="1"/>
  <c r="F39" i="1"/>
  <c r="G39" i="1"/>
  <c r="H39" i="1"/>
  <c r="I39" i="1"/>
  <c r="A40" i="1"/>
  <c r="B40" i="1"/>
  <c r="C40" i="1"/>
  <c r="D40" i="1"/>
  <c r="E40" i="1"/>
  <c r="F40" i="1"/>
  <c r="G40" i="1"/>
  <c r="H40" i="1"/>
  <c r="I40" i="1"/>
  <c r="A41" i="1"/>
  <c r="B41" i="1"/>
  <c r="C41" i="1"/>
  <c r="D41" i="1"/>
  <c r="E41" i="1"/>
  <c r="F41" i="1"/>
  <c r="G41" i="1"/>
  <c r="H41" i="1"/>
  <c r="I41" i="1"/>
  <c r="A42" i="1"/>
  <c r="B42" i="1"/>
  <c r="C42" i="1"/>
  <c r="D42" i="1"/>
  <c r="E42" i="1"/>
  <c r="F42" i="1"/>
  <c r="G42" i="1"/>
  <c r="H42" i="1"/>
  <c r="I42" i="1"/>
  <c r="A43" i="1"/>
  <c r="B43" i="1"/>
  <c r="C43" i="1"/>
  <c r="D43" i="1"/>
  <c r="E43" i="1"/>
  <c r="F43" i="1"/>
  <c r="G43" i="1"/>
  <c r="H43" i="1"/>
  <c r="I43" i="1"/>
  <c r="A44" i="1"/>
  <c r="B44" i="1"/>
  <c r="C44" i="1"/>
  <c r="D44" i="1"/>
  <c r="E44" i="1"/>
  <c r="F44" i="1"/>
  <c r="G44" i="1"/>
  <c r="H44" i="1"/>
  <c r="I44" i="1"/>
  <c r="A45" i="1"/>
  <c r="B45" i="1"/>
  <c r="C45" i="1"/>
  <c r="D45" i="1"/>
  <c r="E45" i="1"/>
  <c r="F45" i="1"/>
  <c r="G45" i="1"/>
  <c r="H45" i="1"/>
  <c r="I45" i="1"/>
  <c r="A46" i="1"/>
  <c r="B46" i="1"/>
  <c r="C46" i="1"/>
  <c r="D46" i="1"/>
  <c r="E46" i="1"/>
  <c r="F46" i="1"/>
  <c r="G46" i="1"/>
  <c r="H46" i="1"/>
  <c r="I46" i="1"/>
  <c r="A47" i="1"/>
  <c r="B47" i="1"/>
  <c r="C47" i="1"/>
  <c r="D47" i="1"/>
  <c r="E47" i="1"/>
  <c r="F47" i="1"/>
  <c r="G47" i="1"/>
  <c r="H47" i="1"/>
  <c r="I47" i="1"/>
  <c r="A48" i="1"/>
  <c r="B48" i="1"/>
  <c r="C48" i="1"/>
  <c r="D48" i="1"/>
  <c r="E48" i="1"/>
  <c r="F48" i="1"/>
  <c r="G48" i="1"/>
  <c r="H48" i="1"/>
  <c r="I48" i="1"/>
  <c r="A49" i="1"/>
  <c r="B49" i="1"/>
  <c r="C49" i="1"/>
  <c r="D49" i="1"/>
  <c r="E49" i="1"/>
  <c r="F49" i="1"/>
  <c r="G49" i="1"/>
  <c r="H49" i="1"/>
  <c r="I49" i="1"/>
  <c r="A50" i="1"/>
  <c r="B50" i="1"/>
  <c r="C50" i="1"/>
  <c r="D50" i="1"/>
  <c r="E50" i="1"/>
  <c r="F50" i="1"/>
  <c r="G50" i="1"/>
  <c r="H50" i="1"/>
  <c r="I50" i="1"/>
  <c r="A51" i="1"/>
  <c r="B51" i="1"/>
  <c r="C51" i="1"/>
  <c r="D51" i="1"/>
  <c r="E51" i="1"/>
  <c r="F51" i="1"/>
  <c r="G51" i="1"/>
  <c r="H51" i="1"/>
  <c r="I51" i="1"/>
  <c r="A52" i="1"/>
  <c r="B52" i="1"/>
  <c r="C52" i="1"/>
  <c r="D52" i="1"/>
  <c r="E52" i="1"/>
  <c r="F52" i="1"/>
  <c r="G52" i="1"/>
  <c r="H52" i="1"/>
  <c r="I52" i="1"/>
  <c r="A53" i="1"/>
  <c r="B53" i="1"/>
  <c r="C53" i="1"/>
  <c r="D53" i="1"/>
  <c r="E53" i="1"/>
  <c r="F53" i="1"/>
  <c r="G53" i="1"/>
  <c r="H53" i="1"/>
  <c r="I53" i="1"/>
  <c r="A54" i="1"/>
  <c r="B54" i="1"/>
  <c r="C54" i="1"/>
  <c r="D54" i="1"/>
  <c r="E54" i="1"/>
  <c r="F54" i="1"/>
  <c r="G54" i="1"/>
  <c r="H54" i="1"/>
  <c r="I54" i="1"/>
  <c r="A55" i="1"/>
  <c r="B55" i="1"/>
  <c r="C55" i="1"/>
  <c r="D55" i="1"/>
  <c r="E55" i="1"/>
  <c r="F55" i="1"/>
  <c r="G55" i="1"/>
  <c r="H55" i="1"/>
  <c r="I55" i="1"/>
  <c r="A56" i="1"/>
  <c r="B56" i="1"/>
  <c r="C56" i="1"/>
  <c r="D56" i="1"/>
  <c r="E56" i="1"/>
  <c r="F56" i="1"/>
  <c r="G56" i="1"/>
  <c r="H56" i="1"/>
  <c r="I56" i="1"/>
  <c r="A57" i="1"/>
  <c r="B57" i="1"/>
  <c r="C57" i="1"/>
  <c r="D57" i="1"/>
  <c r="E57" i="1"/>
  <c r="F57" i="1"/>
  <c r="G57" i="1"/>
  <c r="H57" i="1"/>
  <c r="I57" i="1"/>
  <c r="A58" i="1"/>
  <c r="B58" i="1"/>
  <c r="C58" i="1"/>
  <c r="D58" i="1"/>
  <c r="E58" i="1"/>
  <c r="F58" i="1"/>
  <c r="G58" i="1"/>
  <c r="H58" i="1"/>
  <c r="I58" i="1"/>
  <c r="A59" i="1"/>
  <c r="B59" i="1"/>
  <c r="C59" i="1"/>
  <c r="D59" i="1"/>
  <c r="E59" i="1"/>
  <c r="F59" i="1"/>
  <c r="G59" i="1"/>
  <c r="H59" i="1"/>
  <c r="I59" i="1"/>
  <c r="A60" i="1"/>
  <c r="B60" i="1"/>
  <c r="C60" i="1"/>
  <c r="D60" i="1"/>
  <c r="E60" i="1"/>
  <c r="F60" i="1"/>
  <c r="G60" i="1"/>
  <c r="H60" i="1"/>
  <c r="I60" i="1"/>
  <c r="A61" i="1"/>
  <c r="B61" i="1"/>
  <c r="C61" i="1"/>
  <c r="D61" i="1"/>
  <c r="E61" i="1"/>
  <c r="F61" i="1"/>
  <c r="G61" i="1"/>
  <c r="H61" i="1"/>
  <c r="I61" i="1"/>
  <c r="A62" i="1"/>
  <c r="B62" i="1"/>
  <c r="C62" i="1"/>
  <c r="D62" i="1"/>
  <c r="E62" i="1"/>
  <c r="F62" i="1"/>
  <c r="G62" i="1"/>
  <c r="H62" i="1"/>
  <c r="I62" i="1"/>
  <c r="A63" i="1"/>
  <c r="B63" i="1"/>
  <c r="C63" i="1"/>
  <c r="D63" i="1"/>
  <c r="E63" i="1"/>
  <c r="F63" i="1"/>
  <c r="G63" i="1"/>
  <c r="H63" i="1"/>
  <c r="I63" i="1"/>
  <c r="A64" i="1"/>
  <c r="B64" i="1"/>
  <c r="C64" i="1"/>
  <c r="D64" i="1"/>
  <c r="E64" i="1"/>
  <c r="F64" i="1"/>
  <c r="G64" i="1"/>
  <c r="H64" i="1"/>
  <c r="I64" i="1"/>
  <c r="A65" i="1"/>
  <c r="B65" i="1"/>
  <c r="C65" i="1"/>
  <c r="D65" i="1"/>
  <c r="E65" i="1"/>
  <c r="F65" i="1"/>
  <c r="G65" i="1"/>
  <c r="H65" i="1"/>
  <c r="I65" i="1"/>
  <c r="A66" i="1"/>
  <c r="B66" i="1"/>
  <c r="C66" i="1"/>
  <c r="D66" i="1"/>
  <c r="E66" i="1"/>
  <c r="F66" i="1"/>
  <c r="G66" i="1"/>
  <c r="H66" i="1"/>
  <c r="I66" i="1"/>
  <c r="A67" i="1"/>
  <c r="B67" i="1"/>
  <c r="C67" i="1"/>
  <c r="D67" i="1"/>
  <c r="E67" i="1"/>
  <c r="F67" i="1"/>
  <c r="G67" i="1"/>
  <c r="H67" i="1"/>
  <c r="I67" i="1"/>
  <c r="A68" i="1"/>
  <c r="B68" i="1"/>
  <c r="C68" i="1"/>
  <c r="D68" i="1"/>
  <c r="E68" i="1"/>
  <c r="F68" i="1"/>
  <c r="G68" i="1"/>
  <c r="H68" i="1"/>
  <c r="I68" i="1"/>
  <c r="A69" i="1"/>
  <c r="B69" i="1"/>
  <c r="C69" i="1"/>
  <c r="D69" i="1"/>
  <c r="E69" i="1"/>
  <c r="F69" i="1"/>
  <c r="G69" i="1"/>
  <c r="H69" i="1"/>
  <c r="I69" i="1"/>
  <c r="A70" i="1"/>
  <c r="B70" i="1"/>
  <c r="C70" i="1"/>
  <c r="D70" i="1"/>
  <c r="E70" i="1"/>
  <c r="F70" i="1"/>
  <c r="G70" i="1"/>
  <c r="H70" i="1"/>
  <c r="I70" i="1"/>
  <c r="A71" i="1"/>
  <c r="B71" i="1"/>
  <c r="C71" i="1"/>
  <c r="D71" i="1"/>
  <c r="E71" i="1"/>
  <c r="F71" i="1"/>
  <c r="G71" i="1"/>
  <c r="H71" i="1"/>
  <c r="I71" i="1"/>
  <c r="A72" i="1"/>
  <c r="B72" i="1"/>
  <c r="C72" i="1"/>
  <c r="D72" i="1"/>
  <c r="E72" i="1"/>
  <c r="F72" i="1"/>
  <c r="G72" i="1"/>
  <c r="H72" i="1"/>
  <c r="I72" i="1"/>
  <c r="A73" i="1"/>
  <c r="B73" i="1"/>
  <c r="C73" i="1"/>
  <c r="D73" i="1"/>
  <c r="E73" i="1"/>
  <c r="F73" i="1"/>
  <c r="G73" i="1"/>
  <c r="H73" i="1"/>
  <c r="I73" i="1"/>
  <c r="A74" i="1"/>
  <c r="B74" i="1"/>
  <c r="C74" i="1"/>
  <c r="D74" i="1"/>
  <c r="E74" i="1"/>
  <c r="F74" i="1"/>
  <c r="G74" i="1"/>
  <c r="H74" i="1"/>
  <c r="I74" i="1"/>
  <c r="A75" i="1"/>
  <c r="B75" i="1"/>
  <c r="C75" i="1"/>
  <c r="D75" i="1"/>
  <c r="E75" i="1"/>
  <c r="F75" i="1"/>
  <c r="G75" i="1"/>
  <c r="H75" i="1"/>
  <c r="I75" i="1"/>
  <c r="A76" i="1"/>
  <c r="B76" i="1"/>
  <c r="C76" i="1"/>
  <c r="D76" i="1"/>
  <c r="E76" i="1"/>
  <c r="F76" i="1"/>
  <c r="G76" i="1"/>
  <c r="H76" i="1"/>
  <c r="I76" i="1"/>
  <c r="A77" i="1"/>
  <c r="B77" i="1"/>
  <c r="C77" i="1"/>
  <c r="D77" i="1"/>
  <c r="E77" i="1"/>
  <c r="F77" i="1"/>
  <c r="G77" i="1"/>
  <c r="H77" i="1"/>
  <c r="I77" i="1"/>
  <c r="A78" i="1"/>
  <c r="B78" i="1"/>
  <c r="C78" i="1"/>
  <c r="D78" i="1"/>
  <c r="E78" i="1"/>
  <c r="F78" i="1"/>
  <c r="G78" i="1"/>
  <c r="H78" i="1"/>
  <c r="I78" i="1"/>
  <c r="A79" i="1"/>
  <c r="B79" i="1"/>
  <c r="C79" i="1"/>
  <c r="D79" i="1"/>
  <c r="E79" i="1"/>
  <c r="F79" i="1"/>
  <c r="G79" i="1"/>
  <c r="H79" i="1"/>
  <c r="I79" i="1"/>
  <c r="A80" i="1"/>
  <c r="B80" i="1"/>
  <c r="C80" i="1"/>
  <c r="D80" i="1"/>
  <c r="E80" i="1"/>
  <c r="F80" i="1"/>
  <c r="G80" i="1"/>
  <c r="H80" i="1"/>
  <c r="I80" i="1"/>
  <c r="A81" i="1"/>
  <c r="B81" i="1"/>
  <c r="C81" i="1"/>
  <c r="D81" i="1"/>
  <c r="E81" i="1"/>
  <c r="F81" i="1"/>
  <c r="G81" i="1"/>
  <c r="H81" i="1"/>
  <c r="I81" i="1"/>
  <c r="A82" i="1"/>
  <c r="B82" i="1"/>
  <c r="C82" i="1"/>
  <c r="D82" i="1"/>
  <c r="E82" i="1"/>
  <c r="F82" i="1"/>
  <c r="G82" i="1"/>
  <c r="H82" i="1"/>
  <c r="I82" i="1"/>
  <c r="A83" i="1"/>
  <c r="B83" i="1"/>
  <c r="C83" i="1"/>
  <c r="D83" i="1"/>
  <c r="E83" i="1"/>
  <c r="F83" i="1"/>
  <c r="G83" i="1"/>
  <c r="H83" i="1"/>
  <c r="I83" i="1"/>
  <c r="A84" i="1"/>
  <c r="B84" i="1"/>
  <c r="C84" i="1"/>
  <c r="D84" i="1"/>
  <c r="E84" i="1"/>
  <c r="F84" i="1"/>
  <c r="G84" i="1"/>
  <c r="H84" i="1"/>
  <c r="I84" i="1"/>
  <c r="A85" i="1"/>
  <c r="B85" i="1"/>
  <c r="C85" i="1"/>
  <c r="D85" i="1"/>
  <c r="E85" i="1"/>
  <c r="F85" i="1"/>
  <c r="G85" i="1"/>
  <c r="H85" i="1"/>
  <c r="I85" i="1"/>
  <c r="A86" i="1"/>
  <c r="B86" i="1"/>
  <c r="C86" i="1"/>
  <c r="D86" i="1"/>
  <c r="E86" i="1"/>
  <c r="F86" i="1"/>
  <c r="G86" i="1"/>
  <c r="H86" i="1"/>
  <c r="I86" i="1"/>
  <c r="A87" i="1"/>
  <c r="B87" i="1"/>
  <c r="C87" i="1"/>
  <c r="D87" i="1"/>
  <c r="E87" i="1"/>
  <c r="F87" i="1"/>
  <c r="G87" i="1"/>
  <c r="H87" i="1"/>
  <c r="I87" i="1"/>
  <c r="A88" i="1"/>
  <c r="B88" i="1"/>
  <c r="C88" i="1"/>
  <c r="D88" i="1"/>
  <c r="E88" i="1"/>
  <c r="F88" i="1"/>
  <c r="G88" i="1"/>
  <c r="H88" i="1"/>
  <c r="I88" i="1"/>
  <c r="A89" i="1"/>
  <c r="B89" i="1"/>
  <c r="C89" i="1"/>
  <c r="D89" i="1"/>
  <c r="E89" i="1"/>
  <c r="F89" i="1"/>
  <c r="G89" i="1"/>
  <c r="H89" i="1"/>
  <c r="I89" i="1"/>
  <c r="A90" i="1"/>
  <c r="B90" i="1"/>
  <c r="C90" i="1"/>
  <c r="D90" i="1"/>
  <c r="E90" i="1"/>
  <c r="F90" i="1"/>
  <c r="G90" i="1"/>
  <c r="H90" i="1"/>
  <c r="I90" i="1"/>
  <c r="A91" i="1"/>
  <c r="B91" i="1"/>
  <c r="C91" i="1"/>
  <c r="D91" i="1"/>
  <c r="E91" i="1"/>
  <c r="F91" i="1"/>
  <c r="G91" i="1"/>
  <c r="H91" i="1"/>
  <c r="I91" i="1"/>
  <c r="A92" i="1"/>
  <c r="B92" i="1"/>
  <c r="C92" i="1"/>
  <c r="D92" i="1"/>
  <c r="E92" i="1"/>
  <c r="F92" i="1"/>
  <c r="G92" i="1"/>
  <c r="H92" i="1"/>
  <c r="I92" i="1"/>
  <c r="A93" i="1"/>
  <c r="B93" i="1"/>
  <c r="C93" i="1"/>
  <c r="D93" i="1"/>
  <c r="E93" i="1"/>
  <c r="F93" i="1"/>
  <c r="G93" i="1"/>
  <c r="H93" i="1"/>
  <c r="I93" i="1"/>
  <c r="A94" i="1"/>
  <c r="B94" i="1"/>
  <c r="C94" i="1"/>
  <c r="D94" i="1"/>
  <c r="E94" i="1"/>
  <c r="F94" i="1"/>
  <c r="G94" i="1"/>
  <c r="H94" i="1"/>
  <c r="I94" i="1"/>
  <c r="A95" i="1"/>
  <c r="B95" i="1"/>
  <c r="C95" i="1"/>
  <c r="D95" i="1"/>
  <c r="E95" i="1"/>
  <c r="F95" i="1"/>
  <c r="G95" i="1"/>
  <c r="H95" i="1"/>
  <c r="I95" i="1"/>
  <c r="A96" i="1"/>
  <c r="B96" i="1"/>
  <c r="C96" i="1"/>
  <c r="D96" i="1"/>
  <c r="E96" i="1"/>
  <c r="F96" i="1"/>
  <c r="G96" i="1"/>
  <c r="H96" i="1"/>
  <c r="I96" i="1"/>
  <c r="A97" i="1"/>
  <c r="B97" i="1"/>
  <c r="C97" i="1"/>
  <c r="D97" i="1"/>
  <c r="E97" i="1"/>
  <c r="F97" i="1"/>
  <c r="G97" i="1"/>
  <c r="H97" i="1"/>
  <c r="I97" i="1"/>
  <c r="A98" i="1"/>
  <c r="B98" i="1"/>
  <c r="C98" i="1"/>
  <c r="D98" i="1"/>
  <c r="E98" i="1"/>
  <c r="F98" i="1"/>
  <c r="G98" i="1"/>
  <c r="H98" i="1"/>
  <c r="I98" i="1"/>
  <c r="A99" i="1"/>
  <c r="B99" i="1"/>
  <c r="C99" i="1"/>
  <c r="D99" i="1"/>
  <c r="E99" i="1"/>
  <c r="F99" i="1"/>
  <c r="G99" i="1"/>
  <c r="H99" i="1"/>
  <c r="I99" i="1"/>
  <c r="A100" i="1"/>
  <c r="B100" i="1"/>
  <c r="C100" i="1"/>
  <c r="D100" i="1"/>
  <c r="E100" i="1"/>
  <c r="F100" i="1"/>
  <c r="G100" i="1"/>
  <c r="H100" i="1"/>
  <c r="I100" i="1"/>
  <c r="A101" i="1"/>
  <c r="B101" i="1"/>
  <c r="C101" i="1"/>
  <c r="D101" i="1"/>
  <c r="E101" i="1"/>
  <c r="F101" i="1"/>
  <c r="G101" i="1"/>
  <c r="H101" i="1"/>
  <c r="I101" i="1"/>
  <c r="A102" i="1"/>
  <c r="B102" i="1"/>
  <c r="C102" i="1"/>
  <c r="D102" i="1"/>
  <c r="E102" i="1"/>
  <c r="F102" i="1"/>
  <c r="G102" i="1"/>
  <c r="H102" i="1"/>
  <c r="I102" i="1"/>
  <c r="A103" i="1"/>
  <c r="B103" i="1"/>
  <c r="C103" i="1"/>
  <c r="D103" i="1"/>
  <c r="E103" i="1"/>
  <c r="F103" i="1"/>
  <c r="G103" i="1"/>
  <c r="H103" i="1"/>
  <c r="I103" i="1"/>
  <c r="A104" i="1"/>
  <c r="B104" i="1"/>
  <c r="C104" i="1"/>
  <c r="D104" i="1"/>
  <c r="E104" i="1"/>
  <c r="F104" i="1"/>
  <c r="G104" i="1"/>
  <c r="H104" i="1"/>
  <c r="I104" i="1"/>
  <c r="A105" i="1"/>
  <c r="B105" i="1"/>
  <c r="C105" i="1"/>
  <c r="D105" i="1"/>
  <c r="E105" i="1"/>
  <c r="F105" i="1"/>
  <c r="G105" i="1"/>
  <c r="H105" i="1"/>
  <c r="I105" i="1"/>
  <c r="A106" i="1"/>
  <c r="B106" i="1"/>
  <c r="C106" i="1"/>
  <c r="D106" i="1"/>
  <c r="E106" i="1"/>
  <c r="F106" i="1"/>
  <c r="G106" i="1"/>
  <c r="H106" i="1"/>
  <c r="I106" i="1"/>
  <c r="A107" i="1"/>
  <c r="B107" i="1"/>
  <c r="C107" i="1"/>
  <c r="D107" i="1"/>
  <c r="E107" i="1"/>
  <c r="F107" i="1"/>
  <c r="G107" i="1"/>
  <c r="H107" i="1"/>
  <c r="I107" i="1"/>
  <c r="A108" i="1"/>
  <c r="B108" i="1"/>
  <c r="C108" i="1"/>
  <c r="D108" i="1"/>
  <c r="E108" i="1"/>
  <c r="F108" i="1"/>
  <c r="G108" i="1"/>
  <c r="H108" i="1"/>
  <c r="I108" i="1"/>
  <c r="A109" i="1"/>
  <c r="B109" i="1"/>
  <c r="C109" i="1"/>
  <c r="D109" i="1"/>
  <c r="E109" i="1"/>
  <c r="F109" i="1"/>
  <c r="G109" i="1"/>
  <c r="H109" i="1"/>
  <c r="I109" i="1"/>
  <c r="A110" i="1"/>
  <c r="B110" i="1"/>
  <c r="C110" i="1"/>
  <c r="D110" i="1"/>
  <c r="E110" i="1"/>
  <c r="F110" i="1"/>
  <c r="G110" i="1"/>
  <c r="H110" i="1"/>
  <c r="I110" i="1"/>
  <c r="A111" i="1"/>
  <c r="B111" i="1"/>
  <c r="C111" i="1"/>
  <c r="D111" i="1"/>
  <c r="E111" i="1"/>
  <c r="F111" i="1"/>
  <c r="G111" i="1"/>
  <c r="H111" i="1"/>
  <c r="I111" i="1"/>
  <c r="A112" i="1"/>
  <c r="B112" i="1"/>
  <c r="C112" i="1"/>
  <c r="D112" i="1"/>
  <c r="E112" i="1"/>
  <c r="F112" i="1"/>
  <c r="G112" i="1"/>
  <c r="H112" i="1"/>
  <c r="I112" i="1"/>
  <c r="A113" i="1"/>
  <c r="B113" i="1"/>
  <c r="C113" i="1"/>
  <c r="D113" i="1"/>
  <c r="E113" i="1"/>
  <c r="F113" i="1"/>
  <c r="G113" i="1"/>
  <c r="H113" i="1"/>
  <c r="I113" i="1"/>
  <c r="A114" i="1"/>
  <c r="B114" i="1"/>
  <c r="C114" i="1"/>
  <c r="D114" i="1"/>
  <c r="E114" i="1"/>
  <c r="F114" i="1"/>
  <c r="G114" i="1"/>
  <c r="H114" i="1"/>
  <c r="I114" i="1"/>
  <c r="A115" i="1"/>
  <c r="B115" i="1"/>
  <c r="C115" i="1"/>
  <c r="D115" i="1"/>
  <c r="E115" i="1"/>
  <c r="F115" i="1"/>
  <c r="G115" i="1"/>
  <c r="H115" i="1"/>
  <c r="I115" i="1"/>
  <c r="A116" i="1"/>
  <c r="B116" i="1"/>
  <c r="C116" i="1"/>
  <c r="D116" i="1"/>
  <c r="E116" i="1"/>
  <c r="F116" i="1"/>
  <c r="G116" i="1"/>
  <c r="H116" i="1"/>
  <c r="I116" i="1"/>
  <c r="A117" i="1"/>
  <c r="B117" i="1"/>
  <c r="C117" i="1"/>
  <c r="D117" i="1"/>
  <c r="E117" i="1"/>
  <c r="F117" i="1"/>
  <c r="G117" i="1"/>
  <c r="H117" i="1"/>
  <c r="I117" i="1"/>
  <c r="A118" i="1"/>
  <c r="B118" i="1"/>
  <c r="C118" i="1"/>
  <c r="D118" i="1"/>
  <c r="E118" i="1"/>
  <c r="F118" i="1"/>
  <c r="G118" i="1"/>
  <c r="H118" i="1"/>
  <c r="I118" i="1"/>
  <c r="A119" i="1"/>
  <c r="B119" i="1"/>
  <c r="C119" i="1"/>
  <c r="D119" i="1"/>
  <c r="E119" i="1"/>
  <c r="F119" i="1"/>
  <c r="G119" i="1"/>
  <c r="H119" i="1"/>
  <c r="I119" i="1"/>
  <c r="A120" i="1"/>
  <c r="B120" i="1"/>
  <c r="C120" i="1"/>
  <c r="D120" i="1"/>
  <c r="E120" i="1"/>
  <c r="F120" i="1"/>
  <c r="G120" i="1"/>
  <c r="H120" i="1"/>
  <c r="I120" i="1"/>
  <c r="A121" i="1"/>
  <c r="B121" i="1"/>
  <c r="C121" i="1"/>
  <c r="D121" i="1"/>
  <c r="E121" i="1"/>
  <c r="F121" i="1"/>
  <c r="G121" i="1"/>
  <c r="H121" i="1"/>
  <c r="I121" i="1"/>
  <c r="A122" i="1"/>
  <c r="B122" i="1"/>
  <c r="C122" i="1"/>
  <c r="D122" i="1"/>
  <c r="E122" i="1"/>
  <c r="F122" i="1"/>
  <c r="G122" i="1"/>
  <c r="H122" i="1"/>
  <c r="I122" i="1"/>
  <c r="A123" i="1"/>
  <c r="B123" i="1"/>
  <c r="C123" i="1"/>
  <c r="D123" i="1"/>
  <c r="E123" i="1"/>
  <c r="F123" i="1"/>
  <c r="G123" i="1"/>
  <c r="H123" i="1"/>
  <c r="I123" i="1"/>
  <c r="A124" i="1"/>
  <c r="B124" i="1"/>
  <c r="C124" i="1"/>
  <c r="D124" i="1"/>
  <c r="E124" i="1"/>
  <c r="F124" i="1"/>
  <c r="G124" i="1"/>
  <c r="H124" i="1"/>
  <c r="I124" i="1"/>
  <c r="A125" i="1"/>
  <c r="B125" i="1"/>
  <c r="C125" i="1"/>
  <c r="D125" i="1"/>
  <c r="E125" i="1"/>
  <c r="F125" i="1"/>
  <c r="G125" i="1"/>
  <c r="H125" i="1"/>
  <c r="I125" i="1"/>
  <c r="A126" i="1"/>
  <c r="B126" i="1"/>
  <c r="C126" i="1"/>
  <c r="D126" i="1"/>
  <c r="E126" i="1"/>
  <c r="F126" i="1"/>
  <c r="G126" i="1"/>
  <c r="H126" i="1"/>
  <c r="I126" i="1"/>
  <c r="A127" i="1"/>
  <c r="B127" i="1"/>
  <c r="C127" i="1"/>
  <c r="D127" i="1"/>
  <c r="E127" i="1"/>
  <c r="F127" i="1"/>
  <c r="G127" i="1"/>
  <c r="H127" i="1"/>
  <c r="I127" i="1"/>
  <c r="A128" i="1"/>
  <c r="B128" i="1"/>
  <c r="C128" i="1"/>
  <c r="D128" i="1"/>
  <c r="E128" i="1"/>
  <c r="F128" i="1"/>
  <c r="G128" i="1"/>
  <c r="H128" i="1"/>
  <c r="I128" i="1"/>
  <c r="A129" i="1"/>
  <c r="B129" i="1"/>
  <c r="C129" i="1"/>
  <c r="D129" i="1"/>
  <c r="E129" i="1"/>
  <c r="F129" i="1"/>
  <c r="G129" i="1"/>
  <c r="H129" i="1"/>
  <c r="I129" i="1"/>
  <c r="A130" i="1"/>
  <c r="B130" i="1"/>
  <c r="C130" i="1"/>
  <c r="D130" i="1"/>
  <c r="E130" i="1"/>
  <c r="F130" i="1"/>
  <c r="G130" i="1"/>
  <c r="H130" i="1"/>
  <c r="I130" i="1"/>
  <c r="A131" i="1"/>
  <c r="B131" i="1"/>
  <c r="C131" i="1"/>
  <c r="D131" i="1"/>
  <c r="E131" i="1"/>
  <c r="F131" i="1"/>
  <c r="G131" i="1"/>
  <c r="H131" i="1"/>
  <c r="I131" i="1"/>
  <c r="A132" i="1"/>
  <c r="B132" i="1"/>
  <c r="C132" i="1"/>
  <c r="D132" i="1"/>
  <c r="E132" i="1"/>
  <c r="F132" i="1"/>
  <c r="G132" i="1"/>
  <c r="H132" i="1"/>
  <c r="I132" i="1"/>
  <c r="A133" i="1"/>
  <c r="B133" i="1"/>
  <c r="C133" i="1"/>
  <c r="D133" i="1"/>
  <c r="E133" i="1"/>
  <c r="F133" i="1"/>
  <c r="G133" i="1"/>
  <c r="H133" i="1"/>
  <c r="I133" i="1"/>
  <c r="A134" i="1"/>
  <c r="B134" i="1"/>
  <c r="C134" i="1"/>
  <c r="D134" i="1"/>
  <c r="E134" i="1"/>
  <c r="F134" i="1"/>
  <c r="G134" i="1"/>
  <c r="H134" i="1"/>
  <c r="I134" i="1"/>
  <c r="A135" i="1"/>
  <c r="B135" i="1"/>
  <c r="C135" i="1"/>
  <c r="D135" i="1"/>
  <c r="E135" i="1"/>
  <c r="F135" i="1"/>
  <c r="G135" i="1"/>
  <c r="H135" i="1"/>
  <c r="I135" i="1"/>
  <c r="A136" i="1"/>
  <c r="B136" i="1"/>
  <c r="C136" i="1"/>
  <c r="D136" i="1"/>
  <c r="E136" i="1"/>
  <c r="F136" i="1"/>
  <c r="G136" i="1"/>
  <c r="H136" i="1"/>
  <c r="I136" i="1"/>
  <c r="A137" i="1"/>
  <c r="B137" i="1"/>
  <c r="C137" i="1"/>
  <c r="D137" i="1"/>
  <c r="E137" i="1"/>
  <c r="F137" i="1"/>
  <c r="G137" i="1"/>
  <c r="H137" i="1"/>
  <c r="I137" i="1"/>
  <c r="A138" i="1"/>
  <c r="B138" i="1"/>
  <c r="C138" i="1"/>
  <c r="D138" i="1"/>
  <c r="E138" i="1"/>
  <c r="F138" i="1"/>
  <c r="G138" i="1"/>
  <c r="H138" i="1"/>
  <c r="I138" i="1"/>
  <c r="A139" i="1"/>
  <c r="B139" i="1"/>
  <c r="C139" i="1"/>
  <c r="D139" i="1"/>
  <c r="E139" i="1"/>
  <c r="F139" i="1"/>
  <c r="G139" i="1"/>
  <c r="H139" i="1"/>
  <c r="I139" i="1"/>
  <c r="A140" i="1"/>
  <c r="B140" i="1"/>
  <c r="C140" i="1"/>
  <c r="D140" i="1"/>
  <c r="E140" i="1"/>
  <c r="F140" i="1"/>
  <c r="G140" i="1"/>
  <c r="H140" i="1"/>
  <c r="I140" i="1"/>
  <c r="A141" i="1"/>
  <c r="B141" i="1"/>
  <c r="C141" i="1"/>
  <c r="D141" i="1"/>
  <c r="E141" i="1"/>
  <c r="F141" i="1"/>
  <c r="G141" i="1"/>
  <c r="H141" i="1"/>
  <c r="I141" i="1"/>
  <c r="A142" i="1"/>
  <c r="B142" i="1"/>
  <c r="C142" i="1"/>
  <c r="D142" i="1"/>
  <c r="E142" i="1"/>
  <c r="F142" i="1"/>
  <c r="G142" i="1"/>
  <c r="H142" i="1"/>
  <c r="I142" i="1"/>
  <c r="A143" i="1"/>
  <c r="B143" i="1"/>
  <c r="C143" i="1"/>
  <c r="D143" i="1"/>
  <c r="E143" i="1"/>
  <c r="F143" i="1"/>
  <c r="G143" i="1"/>
  <c r="H143" i="1"/>
  <c r="I143" i="1"/>
  <c r="A144" i="1"/>
  <c r="B144" i="1"/>
  <c r="C144" i="1"/>
  <c r="D144" i="1"/>
  <c r="E144" i="1"/>
  <c r="F144" i="1"/>
  <c r="G144" i="1"/>
  <c r="H144" i="1"/>
  <c r="I144" i="1"/>
  <c r="A145" i="1"/>
  <c r="B145" i="1"/>
  <c r="C145" i="1"/>
  <c r="D145" i="1"/>
  <c r="E145" i="1"/>
  <c r="F145" i="1"/>
  <c r="G145" i="1"/>
  <c r="H145" i="1"/>
  <c r="I145" i="1"/>
  <c r="A146" i="1"/>
  <c r="B146" i="1"/>
  <c r="C146" i="1"/>
  <c r="D146" i="1"/>
  <c r="E146" i="1"/>
  <c r="F146" i="1"/>
  <c r="G146" i="1"/>
  <c r="H146" i="1"/>
  <c r="I146" i="1"/>
  <c r="A147" i="1"/>
  <c r="B147" i="1"/>
  <c r="C147" i="1"/>
  <c r="D147" i="1"/>
  <c r="E147" i="1"/>
  <c r="F147" i="1"/>
  <c r="G147" i="1"/>
  <c r="H147" i="1"/>
  <c r="I147" i="1"/>
  <c r="A148" i="1"/>
  <c r="B148" i="1"/>
  <c r="C148" i="1"/>
  <c r="D148" i="1"/>
  <c r="E148" i="1"/>
  <c r="F148" i="1"/>
  <c r="G148" i="1"/>
  <c r="H148" i="1"/>
  <c r="I148" i="1"/>
  <c r="A149" i="1"/>
  <c r="B149" i="1"/>
  <c r="C149" i="1"/>
  <c r="D149" i="1"/>
  <c r="E149" i="1"/>
  <c r="F149" i="1"/>
  <c r="G149" i="1"/>
  <c r="H149" i="1"/>
  <c r="I149" i="1"/>
  <c r="A150" i="1"/>
  <c r="B150" i="1"/>
  <c r="C150" i="1"/>
  <c r="D150" i="1"/>
  <c r="E150" i="1"/>
  <c r="F150" i="1"/>
  <c r="G150" i="1"/>
  <c r="H150" i="1"/>
  <c r="I150" i="1"/>
  <c r="A151" i="1"/>
  <c r="B151" i="1"/>
  <c r="C151" i="1"/>
  <c r="D151" i="1"/>
  <c r="E151" i="1"/>
  <c r="F151" i="1"/>
  <c r="G151" i="1"/>
  <c r="H151" i="1"/>
  <c r="I151" i="1"/>
  <c r="A152" i="1"/>
  <c r="B152" i="1"/>
  <c r="C152" i="1"/>
  <c r="D152" i="1"/>
  <c r="E152" i="1"/>
  <c r="F152" i="1"/>
  <c r="G152" i="1"/>
  <c r="H152" i="1"/>
  <c r="I152" i="1"/>
  <c r="A153" i="1"/>
  <c r="B153" i="1"/>
  <c r="C153" i="1"/>
  <c r="D153" i="1"/>
  <c r="E153" i="1"/>
  <c r="F153" i="1"/>
  <c r="G153" i="1"/>
  <c r="H153" i="1"/>
  <c r="I153" i="1"/>
  <c r="A154" i="1"/>
  <c r="B154" i="1"/>
  <c r="C154" i="1"/>
  <c r="D154" i="1"/>
  <c r="E154" i="1"/>
  <c r="F154" i="1"/>
  <c r="G154" i="1"/>
  <c r="H154" i="1"/>
  <c r="I154" i="1"/>
  <c r="A155" i="1"/>
  <c r="B155" i="1"/>
  <c r="C155" i="1"/>
  <c r="D155" i="1"/>
  <c r="E155" i="1"/>
  <c r="F155" i="1"/>
  <c r="G155" i="1"/>
  <c r="H155" i="1"/>
  <c r="I155" i="1"/>
  <c r="A156" i="1"/>
  <c r="B156" i="1"/>
  <c r="C156" i="1"/>
  <c r="D156" i="1"/>
  <c r="E156" i="1"/>
  <c r="F156" i="1"/>
  <c r="G156" i="1"/>
  <c r="H156" i="1"/>
  <c r="I156" i="1"/>
  <c r="A157" i="1"/>
  <c r="B157" i="1"/>
  <c r="C157" i="1"/>
  <c r="D157" i="1"/>
  <c r="E157" i="1"/>
  <c r="F157" i="1"/>
  <c r="G157" i="1"/>
  <c r="H157" i="1"/>
  <c r="I157" i="1"/>
  <c r="A158" i="1"/>
  <c r="B158" i="1"/>
  <c r="C158" i="1"/>
  <c r="D158" i="1"/>
  <c r="E158" i="1"/>
  <c r="F158" i="1"/>
  <c r="G158" i="1"/>
  <c r="H158" i="1"/>
  <c r="I158" i="1"/>
  <c r="A159" i="1"/>
  <c r="B159" i="1"/>
  <c r="C159" i="1"/>
  <c r="D159" i="1"/>
  <c r="E159" i="1"/>
  <c r="F159" i="1"/>
  <c r="G159" i="1"/>
  <c r="H159" i="1"/>
  <c r="I159" i="1"/>
  <c r="A160" i="1"/>
  <c r="B160" i="1"/>
  <c r="C160" i="1"/>
  <c r="D160" i="1"/>
  <c r="E160" i="1"/>
  <c r="F160" i="1"/>
  <c r="G160" i="1"/>
  <c r="H160" i="1"/>
  <c r="I160" i="1"/>
  <c r="A161" i="1"/>
  <c r="B161" i="1"/>
  <c r="C161" i="1"/>
  <c r="D161" i="1"/>
  <c r="E161" i="1"/>
  <c r="F161" i="1"/>
  <c r="G161" i="1"/>
  <c r="H161" i="1"/>
  <c r="I161" i="1"/>
  <c r="A162" i="1"/>
  <c r="B162" i="1"/>
  <c r="C162" i="1"/>
  <c r="D162" i="1"/>
  <c r="E162" i="1"/>
  <c r="F162" i="1"/>
  <c r="G162" i="1"/>
  <c r="H162" i="1"/>
  <c r="I162" i="1"/>
  <c r="A163" i="1"/>
  <c r="B163" i="1"/>
  <c r="C163" i="1"/>
  <c r="D163" i="1"/>
  <c r="E163" i="1"/>
  <c r="F163" i="1"/>
  <c r="G163" i="1"/>
  <c r="H163" i="1"/>
  <c r="I163" i="1"/>
  <c r="A164" i="1"/>
  <c r="B164" i="1"/>
  <c r="C164" i="1"/>
  <c r="D164" i="1"/>
  <c r="E164" i="1"/>
  <c r="F164" i="1"/>
  <c r="G164" i="1"/>
  <c r="H164" i="1"/>
  <c r="I164" i="1"/>
  <c r="A165" i="1"/>
  <c r="B165" i="1"/>
  <c r="C165" i="1"/>
  <c r="D165" i="1"/>
  <c r="E165" i="1"/>
  <c r="F165" i="1"/>
  <c r="G165" i="1"/>
  <c r="H165" i="1"/>
  <c r="I165" i="1"/>
  <c r="A166" i="1"/>
  <c r="B166" i="1"/>
  <c r="C166" i="1"/>
  <c r="D166" i="1"/>
  <c r="E166" i="1"/>
  <c r="F166" i="1"/>
  <c r="G166" i="1"/>
  <c r="H166" i="1"/>
  <c r="I166" i="1"/>
  <c r="A167" i="1"/>
  <c r="B167" i="1"/>
  <c r="C167" i="1"/>
  <c r="D167" i="1"/>
  <c r="E167" i="1"/>
  <c r="F167" i="1"/>
  <c r="G167" i="1"/>
  <c r="H167" i="1"/>
  <c r="I167" i="1"/>
  <c r="A168" i="1"/>
  <c r="B168" i="1"/>
  <c r="C168" i="1"/>
  <c r="D168" i="1"/>
  <c r="E168" i="1"/>
  <c r="F168" i="1"/>
  <c r="G168" i="1"/>
  <c r="H168" i="1"/>
  <c r="I168" i="1"/>
  <c r="A169" i="1"/>
  <c r="B169" i="1"/>
  <c r="C169" i="1"/>
  <c r="D169" i="1"/>
  <c r="E169" i="1"/>
  <c r="F169" i="1"/>
  <c r="G169" i="1"/>
  <c r="H169" i="1"/>
  <c r="I169" i="1"/>
  <c r="A170" i="1"/>
  <c r="B170" i="1"/>
  <c r="C170" i="1"/>
  <c r="D170" i="1"/>
  <c r="E170" i="1"/>
  <c r="F170" i="1"/>
  <c r="G170" i="1"/>
  <c r="H170" i="1"/>
  <c r="I170" i="1"/>
  <c r="A171" i="1"/>
  <c r="B171" i="1"/>
  <c r="C171" i="1"/>
  <c r="D171" i="1"/>
  <c r="E171" i="1"/>
  <c r="F171" i="1"/>
  <c r="G171" i="1"/>
  <c r="H171" i="1"/>
  <c r="I171" i="1"/>
  <c r="A172" i="1"/>
  <c r="B172" i="1"/>
  <c r="C172" i="1"/>
  <c r="D172" i="1"/>
  <c r="E172" i="1"/>
  <c r="F172" i="1"/>
  <c r="G172" i="1"/>
  <c r="H172" i="1"/>
  <c r="I172" i="1"/>
  <c r="A173" i="1"/>
  <c r="B173" i="1"/>
  <c r="C173" i="1"/>
  <c r="D173" i="1"/>
  <c r="E173" i="1"/>
  <c r="F173" i="1"/>
  <c r="G173" i="1"/>
  <c r="H173" i="1"/>
  <c r="I173" i="1"/>
  <c r="A174" i="1"/>
  <c r="B174" i="1"/>
  <c r="C174" i="1"/>
  <c r="D174" i="1"/>
  <c r="E174" i="1"/>
  <c r="F174" i="1"/>
  <c r="G174" i="1"/>
  <c r="H174" i="1"/>
  <c r="I174" i="1"/>
  <c r="A175" i="1"/>
  <c r="B175" i="1"/>
  <c r="C175" i="1"/>
  <c r="D175" i="1"/>
  <c r="E175" i="1"/>
  <c r="F175" i="1"/>
  <c r="G175" i="1"/>
  <c r="H175" i="1"/>
  <c r="I175" i="1"/>
  <c r="A176" i="1"/>
  <c r="B176" i="1"/>
  <c r="C176" i="1"/>
  <c r="D176" i="1"/>
  <c r="E176" i="1"/>
  <c r="F176" i="1"/>
  <c r="G176" i="1"/>
  <c r="H176" i="1"/>
  <c r="I176" i="1"/>
  <c r="A177" i="1"/>
  <c r="B177" i="1"/>
  <c r="C177" i="1"/>
  <c r="D177" i="1"/>
  <c r="E177" i="1"/>
  <c r="F177" i="1"/>
  <c r="G177" i="1"/>
  <c r="H177" i="1"/>
  <c r="I177" i="1"/>
  <c r="A178" i="1"/>
  <c r="B178" i="1"/>
  <c r="C178" i="1"/>
  <c r="D178" i="1"/>
  <c r="E178" i="1"/>
  <c r="F178" i="1"/>
  <c r="G178" i="1"/>
  <c r="H178" i="1"/>
  <c r="I178" i="1"/>
  <c r="A179" i="1"/>
  <c r="B179" i="1"/>
  <c r="C179" i="1"/>
  <c r="D179" i="1"/>
  <c r="E179" i="1"/>
  <c r="F179" i="1"/>
  <c r="G179" i="1"/>
  <c r="H179" i="1"/>
  <c r="I179" i="1"/>
  <c r="A180" i="1"/>
  <c r="B180" i="1"/>
  <c r="C180" i="1"/>
  <c r="D180" i="1"/>
  <c r="E180" i="1"/>
  <c r="F180" i="1"/>
  <c r="G180" i="1"/>
  <c r="H180" i="1"/>
  <c r="I180" i="1"/>
  <c r="A181" i="1"/>
  <c r="B181" i="1"/>
  <c r="C181" i="1"/>
  <c r="D181" i="1"/>
  <c r="E181" i="1"/>
  <c r="F181" i="1"/>
  <c r="G181" i="1"/>
  <c r="H181" i="1"/>
  <c r="I181" i="1"/>
  <c r="A182" i="1"/>
  <c r="B182" i="1"/>
  <c r="C182" i="1"/>
  <c r="D182" i="1"/>
  <c r="E182" i="1"/>
  <c r="F182" i="1"/>
  <c r="G182" i="1"/>
  <c r="H182" i="1"/>
  <c r="I182" i="1"/>
  <c r="A183" i="1"/>
  <c r="B183" i="1"/>
  <c r="C183" i="1"/>
  <c r="D183" i="1"/>
  <c r="E183" i="1"/>
  <c r="F183" i="1"/>
  <c r="G183" i="1"/>
  <c r="H183" i="1"/>
  <c r="I183" i="1"/>
  <c r="A184" i="1"/>
  <c r="B184" i="1"/>
  <c r="C184" i="1"/>
  <c r="D184" i="1"/>
  <c r="E184" i="1"/>
  <c r="F184" i="1"/>
  <c r="G184" i="1"/>
  <c r="H184" i="1"/>
  <c r="I184" i="1"/>
  <c r="A185" i="1"/>
  <c r="B185" i="1"/>
  <c r="C185" i="1"/>
  <c r="D185" i="1"/>
  <c r="E185" i="1"/>
  <c r="F185" i="1"/>
  <c r="G185" i="1"/>
  <c r="H185" i="1"/>
  <c r="I185" i="1"/>
  <c r="A186" i="1"/>
  <c r="B186" i="1"/>
  <c r="C186" i="1"/>
  <c r="D186" i="1"/>
  <c r="E186" i="1"/>
  <c r="F186" i="1"/>
  <c r="G186" i="1"/>
  <c r="H186" i="1"/>
  <c r="I186" i="1"/>
  <c r="A187" i="1"/>
  <c r="B187" i="1"/>
  <c r="C187" i="1"/>
  <c r="D187" i="1"/>
  <c r="E187" i="1"/>
  <c r="F187" i="1"/>
  <c r="G187" i="1"/>
  <c r="H187" i="1"/>
  <c r="I187" i="1"/>
  <c r="A188" i="1"/>
  <c r="B188" i="1"/>
  <c r="C188" i="1"/>
  <c r="D188" i="1"/>
  <c r="E188" i="1"/>
  <c r="F188" i="1"/>
  <c r="G188" i="1"/>
  <c r="H188" i="1"/>
  <c r="I188" i="1"/>
  <c r="A189" i="1"/>
  <c r="B189" i="1"/>
  <c r="C189" i="1"/>
  <c r="D189" i="1"/>
  <c r="E189" i="1"/>
  <c r="F189" i="1"/>
  <c r="G189" i="1"/>
  <c r="H189" i="1"/>
  <c r="I189" i="1"/>
  <c r="A190" i="1"/>
  <c r="B190" i="1"/>
  <c r="C190" i="1"/>
  <c r="D190" i="1"/>
  <c r="E190" i="1"/>
  <c r="F190" i="1"/>
  <c r="G190" i="1"/>
  <c r="H190" i="1"/>
  <c r="I190" i="1"/>
  <c r="A191" i="1"/>
  <c r="B191" i="1"/>
  <c r="C191" i="1"/>
  <c r="D191" i="1"/>
  <c r="E191" i="1"/>
  <c r="F191" i="1"/>
  <c r="G191" i="1"/>
  <c r="H191" i="1"/>
  <c r="I191" i="1"/>
  <c r="A192" i="1"/>
  <c r="B192" i="1"/>
  <c r="C192" i="1"/>
  <c r="D192" i="1"/>
  <c r="E192" i="1"/>
  <c r="F192" i="1"/>
  <c r="G192" i="1"/>
  <c r="H192" i="1"/>
  <c r="I192" i="1"/>
  <c r="A193" i="1"/>
  <c r="B193" i="1"/>
  <c r="C193" i="1"/>
  <c r="D193" i="1"/>
  <c r="E193" i="1"/>
  <c r="F193" i="1"/>
  <c r="G193" i="1"/>
  <c r="H193" i="1"/>
  <c r="I193" i="1"/>
  <c r="A194" i="1"/>
  <c r="B194" i="1"/>
  <c r="C194" i="1"/>
  <c r="D194" i="1"/>
  <c r="E194" i="1"/>
  <c r="F194" i="1"/>
  <c r="G194" i="1"/>
  <c r="H194" i="1"/>
  <c r="I194" i="1"/>
  <c r="A195" i="1"/>
  <c r="B195" i="1"/>
  <c r="C195" i="1"/>
  <c r="D195" i="1"/>
  <c r="E195" i="1"/>
  <c r="F195" i="1"/>
  <c r="G195" i="1"/>
  <c r="H195" i="1"/>
  <c r="I195" i="1"/>
  <c r="A196" i="1"/>
  <c r="B196" i="1"/>
  <c r="C196" i="1"/>
  <c r="D196" i="1"/>
  <c r="E196" i="1"/>
  <c r="F196" i="1"/>
  <c r="G196" i="1"/>
  <c r="H196" i="1"/>
  <c r="I196" i="1"/>
  <c r="A197" i="1"/>
  <c r="B197" i="1"/>
  <c r="C197" i="1"/>
  <c r="D197" i="1"/>
  <c r="E197" i="1"/>
  <c r="F197" i="1"/>
  <c r="G197" i="1"/>
  <c r="H197" i="1"/>
  <c r="I197" i="1"/>
  <c r="A198" i="1"/>
  <c r="B198" i="1"/>
  <c r="C198" i="1"/>
  <c r="D198" i="1"/>
  <c r="E198" i="1"/>
  <c r="F198" i="1"/>
  <c r="G198" i="1"/>
  <c r="H198" i="1"/>
  <c r="I198" i="1"/>
  <c r="A199" i="1"/>
  <c r="B199" i="1"/>
  <c r="C199" i="1"/>
  <c r="D199" i="1"/>
  <c r="E199" i="1"/>
  <c r="F199" i="1"/>
  <c r="G199" i="1"/>
  <c r="H199" i="1"/>
  <c r="I199" i="1"/>
  <c r="A200" i="1"/>
  <c r="B200" i="1"/>
  <c r="C200" i="1"/>
  <c r="D200" i="1"/>
  <c r="E200" i="1"/>
  <c r="F200" i="1"/>
  <c r="G200" i="1"/>
  <c r="H200" i="1"/>
  <c r="I200" i="1"/>
  <c r="A201" i="1"/>
  <c r="B201" i="1"/>
  <c r="C201" i="1"/>
  <c r="D201" i="1"/>
  <c r="E201" i="1"/>
  <c r="F201" i="1"/>
  <c r="G201" i="1"/>
  <c r="H201" i="1"/>
  <c r="I201" i="1"/>
  <c r="A202" i="1"/>
  <c r="B202" i="1"/>
  <c r="C202" i="1"/>
  <c r="D202" i="1"/>
  <c r="E202" i="1"/>
  <c r="F202" i="1"/>
  <c r="G202" i="1"/>
  <c r="H202" i="1"/>
  <c r="I202" i="1"/>
  <c r="A203" i="1"/>
  <c r="B203" i="1"/>
  <c r="C203" i="1"/>
  <c r="D203" i="1"/>
  <c r="E203" i="1"/>
  <c r="F203" i="1"/>
  <c r="G203" i="1"/>
  <c r="H203" i="1"/>
  <c r="I203" i="1"/>
  <c r="A204" i="1"/>
  <c r="B204" i="1"/>
  <c r="C204" i="1"/>
  <c r="D204" i="1"/>
  <c r="E204" i="1"/>
  <c r="F204" i="1"/>
  <c r="G204" i="1"/>
  <c r="H204" i="1"/>
  <c r="I204" i="1"/>
  <c r="A205" i="1"/>
  <c r="B205" i="1"/>
  <c r="C205" i="1"/>
  <c r="D205" i="1"/>
  <c r="E205" i="1"/>
  <c r="F205" i="1"/>
  <c r="G205" i="1"/>
  <c r="H205" i="1"/>
  <c r="I205" i="1"/>
  <c r="A206" i="1"/>
  <c r="B206" i="1"/>
  <c r="C206" i="1"/>
  <c r="D206" i="1"/>
  <c r="E206" i="1"/>
  <c r="F206" i="1"/>
  <c r="G206" i="1"/>
  <c r="H206" i="1"/>
  <c r="I206" i="1"/>
  <c r="A207" i="1"/>
  <c r="B207" i="1"/>
  <c r="C207" i="1"/>
  <c r="D207" i="1"/>
  <c r="E207" i="1"/>
  <c r="F207" i="1"/>
  <c r="G207" i="1"/>
  <c r="H207" i="1"/>
  <c r="I207" i="1"/>
  <c r="A208" i="1"/>
  <c r="B208" i="1"/>
  <c r="C208" i="1"/>
  <c r="D208" i="1"/>
  <c r="E208" i="1"/>
  <c r="F208" i="1"/>
  <c r="G208" i="1"/>
  <c r="H208" i="1"/>
  <c r="I208" i="1"/>
  <c r="A209" i="1"/>
  <c r="B209" i="1"/>
  <c r="C209" i="1"/>
  <c r="D209" i="1"/>
  <c r="E209" i="1"/>
  <c r="F209" i="1"/>
  <c r="G209" i="1"/>
  <c r="H209" i="1"/>
  <c r="I209" i="1"/>
  <c r="A210" i="1"/>
  <c r="B210" i="1"/>
  <c r="C210" i="1"/>
  <c r="D210" i="1"/>
  <c r="E210" i="1"/>
  <c r="F210" i="1"/>
  <c r="G210" i="1"/>
  <c r="H210" i="1"/>
  <c r="I210" i="1"/>
  <c r="A211" i="1"/>
  <c r="B211" i="1"/>
  <c r="C211" i="1"/>
  <c r="D211" i="1"/>
  <c r="E211" i="1"/>
  <c r="F211" i="1"/>
  <c r="G211" i="1"/>
  <c r="H211" i="1"/>
  <c r="I211" i="1"/>
  <c r="A212" i="1"/>
  <c r="B212" i="1"/>
  <c r="C212" i="1"/>
  <c r="D212" i="1"/>
  <c r="E212" i="1"/>
  <c r="F212" i="1"/>
  <c r="G212" i="1"/>
  <c r="H212" i="1"/>
  <c r="I212" i="1"/>
  <c r="A213" i="1"/>
  <c r="B213" i="1"/>
  <c r="C213" i="1"/>
  <c r="D213" i="1"/>
  <c r="E213" i="1"/>
  <c r="F213" i="1"/>
  <c r="G213" i="1"/>
  <c r="H213" i="1"/>
  <c r="I213" i="1"/>
  <c r="A214" i="1"/>
  <c r="B214" i="1"/>
  <c r="C214" i="1"/>
  <c r="D214" i="1"/>
  <c r="E214" i="1"/>
  <c r="F214" i="1"/>
  <c r="G214" i="1"/>
  <c r="H214" i="1"/>
  <c r="I214" i="1"/>
  <c r="A215" i="1"/>
  <c r="B215" i="1"/>
  <c r="C215" i="1"/>
  <c r="D215" i="1"/>
  <c r="E215" i="1"/>
  <c r="F215" i="1"/>
  <c r="G215" i="1"/>
  <c r="H215" i="1"/>
  <c r="I215" i="1"/>
  <c r="A216" i="1"/>
  <c r="B216" i="1"/>
  <c r="C216" i="1"/>
  <c r="D216" i="1"/>
  <c r="E216" i="1"/>
  <c r="F216" i="1"/>
  <c r="G216" i="1"/>
  <c r="H216" i="1"/>
  <c r="I216" i="1"/>
  <c r="A217" i="1"/>
  <c r="B217" i="1"/>
  <c r="C217" i="1"/>
  <c r="D217" i="1"/>
  <c r="E217" i="1"/>
  <c r="F217" i="1"/>
  <c r="G217" i="1"/>
  <c r="H217" i="1"/>
  <c r="I217" i="1"/>
  <c r="A218" i="1"/>
  <c r="B218" i="1"/>
  <c r="C218" i="1"/>
  <c r="D218" i="1"/>
  <c r="E218" i="1"/>
  <c r="F218" i="1"/>
  <c r="G218" i="1"/>
  <c r="H218" i="1"/>
  <c r="I218" i="1"/>
  <c r="A219" i="1"/>
  <c r="B219" i="1"/>
  <c r="C219" i="1"/>
  <c r="D219" i="1"/>
  <c r="E219" i="1"/>
  <c r="F219" i="1"/>
  <c r="G219" i="1"/>
  <c r="H219" i="1"/>
  <c r="I219" i="1"/>
  <c r="A220" i="1"/>
  <c r="B220" i="1"/>
  <c r="C220" i="1"/>
  <c r="D220" i="1"/>
  <c r="E220" i="1"/>
  <c r="F220" i="1"/>
  <c r="G220" i="1"/>
  <c r="H220" i="1"/>
  <c r="I220" i="1"/>
  <c r="A221" i="1"/>
  <c r="B221" i="1"/>
  <c r="C221" i="1"/>
  <c r="D221" i="1"/>
  <c r="E221" i="1"/>
  <c r="F221" i="1"/>
  <c r="G221" i="1"/>
  <c r="H221" i="1"/>
  <c r="I221" i="1"/>
  <c r="A222" i="1"/>
  <c r="B222" i="1"/>
  <c r="C222" i="1"/>
  <c r="D222" i="1"/>
  <c r="E222" i="1"/>
  <c r="F222" i="1"/>
  <c r="G222" i="1"/>
  <c r="H222" i="1"/>
  <c r="I222" i="1"/>
  <c r="A223" i="1"/>
  <c r="B223" i="1"/>
  <c r="C223" i="1"/>
  <c r="D223" i="1"/>
  <c r="E223" i="1"/>
  <c r="F223" i="1"/>
  <c r="G223" i="1"/>
  <c r="H223" i="1"/>
  <c r="I223" i="1"/>
  <c r="A224" i="1"/>
  <c r="B224" i="1"/>
  <c r="C224" i="1"/>
  <c r="D224" i="1"/>
  <c r="E224" i="1"/>
  <c r="F224" i="1"/>
  <c r="G224" i="1"/>
  <c r="H224" i="1"/>
  <c r="I224" i="1"/>
  <c r="A225" i="1"/>
  <c r="B225" i="1"/>
  <c r="C225" i="1"/>
  <c r="D225" i="1"/>
  <c r="E225" i="1"/>
  <c r="F225" i="1"/>
  <c r="G225" i="1"/>
  <c r="H225" i="1"/>
  <c r="I225" i="1"/>
  <c r="A226" i="1"/>
  <c r="B226" i="1"/>
  <c r="C226" i="1"/>
  <c r="D226" i="1"/>
  <c r="E226" i="1"/>
  <c r="F226" i="1"/>
  <c r="G226" i="1"/>
  <c r="H226" i="1"/>
  <c r="I226" i="1"/>
  <c r="A227" i="1"/>
  <c r="B227" i="1"/>
  <c r="C227" i="1"/>
  <c r="D227" i="1"/>
  <c r="E227" i="1"/>
  <c r="F227" i="1"/>
  <c r="G227" i="1"/>
  <c r="H227" i="1"/>
  <c r="I227" i="1"/>
  <c r="A228" i="1"/>
  <c r="B228" i="1"/>
  <c r="C228" i="1"/>
  <c r="D228" i="1"/>
  <c r="E228" i="1"/>
  <c r="F228" i="1"/>
  <c r="G228" i="1"/>
  <c r="H228" i="1"/>
  <c r="I228" i="1"/>
  <c r="A229" i="1"/>
  <c r="B229" i="1"/>
  <c r="C229" i="1"/>
  <c r="D229" i="1"/>
  <c r="E229" i="1"/>
  <c r="F229" i="1"/>
  <c r="G229" i="1"/>
  <c r="H229" i="1"/>
  <c r="I229" i="1"/>
  <c r="A230" i="1"/>
  <c r="B230" i="1"/>
  <c r="C230" i="1"/>
  <c r="D230" i="1"/>
  <c r="E230" i="1"/>
  <c r="F230" i="1"/>
  <c r="G230" i="1"/>
  <c r="H230" i="1"/>
  <c r="I230" i="1"/>
  <c r="A231" i="1"/>
  <c r="B231" i="1"/>
  <c r="C231" i="1"/>
  <c r="D231" i="1"/>
  <c r="E231" i="1"/>
  <c r="F231" i="1"/>
  <c r="G231" i="1"/>
  <c r="H231" i="1"/>
  <c r="I231" i="1"/>
  <c r="A232" i="1"/>
  <c r="B232" i="1"/>
  <c r="C232" i="1"/>
  <c r="D232" i="1"/>
  <c r="E232" i="1"/>
  <c r="F232" i="1"/>
  <c r="G232" i="1"/>
  <c r="H232" i="1"/>
  <c r="I232" i="1"/>
  <c r="A233" i="1"/>
  <c r="B233" i="1"/>
  <c r="C233" i="1"/>
  <c r="D233" i="1"/>
  <c r="E233" i="1"/>
  <c r="F233" i="1"/>
  <c r="G233" i="1"/>
  <c r="H233" i="1"/>
  <c r="I233" i="1"/>
  <c r="A234" i="1"/>
  <c r="B234" i="1"/>
  <c r="C234" i="1"/>
  <c r="D234" i="1"/>
  <c r="E234" i="1"/>
  <c r="F234" i="1"/>
  <c r="G234" i="1"/>
  <c r="H234" i="1"/>
  <c r="I234" i="1"/>
  <c r="A235" i="1"/>
  <c r="B235" i="1"/>
  <c r="C235" i="1"/>
  <c r="D235" i="1"/>
  <c r="E235" i="1"/>
  <c r="F235" i="1"/>
  <c r="G235" i="1"/>
  <c r="H235" i="1"/>
  <c r="I235" i="1"/>
  <c r="A236" i="1"/>
  <c r="B236" i="1"/>
  <c r="C236" i="1"/>
  <c r="D236" i="1"/>
  <c r="E236" i="1"/>
  <c r="F236" i="1"/>
  <c r="G236" i="1"/>
  <c r="H236" i="1"/>
  <c r="I236" i="1"/>
  <c r="A237" i="1"/>
  <c r="B237" i="1"/>
  <c r="C237" i="1"/>
  <c r="D237" i="1"/>
  <c r="E237" i="1"/>
  <c r="F237" i="1"/>
  <c r="G237" i="1"/>
  <c r="H237" i="1"/>
  <c r="I237" i="1"/>
  <c r="A238" i="1"/>
  <c r="B238" i="1"/>
  <c r="C238" i="1"/>
  <c r="D238" i="1"/>
  <c r="E238" i="1"/>
  <c r="F238" i="1"/>
  <c r="G238" i="1"/>
  <c r="H238" i="1"/>
  <c r="I238" i="1"/>
  <c r="A239" i="1"/>
  <c r="B239" i="1"/>
  <c r="C239" i="1"/>
  <c r="D239" i="1"/>
  <c r="E239" i="1"/>
  <c r="F239" i="1"/>
  <c r="G239" i="1"/>
  <c r="H239" i="1"/>
  <c r="I239" i="1"/>
  <c r="A240" i="1"/>
  <c r="B240" i="1"/>
  <c r="C240" i="1"/>
  <c r="D240" i="1"/>
  <c r="E240" i="1"/>
  <c r="F240" i="1"/>
  <c r="G240" i="1"/>
  <c r="H240" i="1"/>
  <c r="I240" i="1"/>
  <c r="A241" i="1"/>
  <c r="B241" i="1"/>
  <c r="C241" i="1"/>
  <c r="D241" i="1"/>
  <c r="E241" i="1"/>
  <c r="F241" i="1"/>
  <c r="G241" i="1"/>
  <c r="H241" i="1"/>
  <c r="I241" i="1"/>
  <c r="A242" i="1"/>
  <c r="B242" i="1"/>
  <c r="C242" i="1"/>
  <c r="D242" i="1"/>
  <c r="E242" i="1"/>
  <c r="F242" i="1"/>
  <c r="G242" i="1"/>
  <c r="H242" i="1"/>
  <c r="I242" i="1"/>
  <c r="A243" i="1"/>
  <c r="B243" i="1"/>
  <c r="C243" i="1"/>
  <c r="D243" i="1"/>
  <c r="E243" i="1"/>
  <c r="F243" i="1"/>
  <c r="G243" i="1"/>
  <c r="H243" i="1"/>
  <c r="I243" i="1"/>
  <c r="A244" i="1"/>
  <c r="B244" i="1"/>
  <c r="C244" i="1"/>
  <c r="D244" i="1"/>
  <c r="E244" i="1"/>
  <c r="F244" i="1"/>
  <c r="G244" i="1"/>
  <c r="H244" i="1"/>
  <c r="I244" i="1"/>
  <c r="A245" i="1"/>
  <c r="B245" i="1"/>
  <c r="C245" i="1"/>
  <c r="D245" i="1"/>
  <c r="E245" i="1"/>
  <c r="F245" i="1"/>
  <c r="G245" i="1"/>
  <c r="H245" i="1"/>
  <c r="I245" i="1"/>
  <c r="A246" i="1"/>
  <c r="B246" i="1"/>
  <c r="C246" i="1"/>
  <c r="D246" i="1"/>
  <c r="E246" i="1"/>
  <c r="F246" i="1"/>
  <c r="G246" i="1"/>
  <c r="H246" i="1"/>
  <c r="I246" i="1"/>
  <c r="A247" i="1"/>
  <c r="B247" i="1"/>
  <c r="C247" i="1"/>
  <c r="D247" i="1"/>
  <c r="E247" i="1"/>
  <c r="F247" i="1"/>
  <c r="G247" i="1"/>
  <c r="H247" i="1"/>
  <c r="I247" i="1"/>
  <c r="A248" i="1"/>
  <c r="B248" i="1"/>
  <c r="C248" i="1"/>
  <c r="D248" i="1"/>
  <c r="E248" i="1"/>
  <c r="F248" i="1"/>
  <c r="G248" i="1"/>
  <c r="H248" i="1"/>
  <c r="I248" i="1"/>
  <c r="A249" i="1"/>
  <c r="B249" i="1"/>
  <c r="C249" i="1"/>
  <c r="D249" i="1"/>
  <c r="E249" i="1"/>
  <c r="F249" i="1"/>
  <c r="G249" i="1"/>
  <c r="H249" i="1"/>
  <c r="I249" i="1"/>
  <c r="A250" i="1"/>
  <c r="B250" i="1"/>
  <c r="C250" i="1"/>
  <c r="D250" i="1"/>
  <c r="E250" i="1"/>
  <c r="F250" i="1"/>
  <c r="G250" i="1"/>
  <c r="H250" i="1"/>
  <c r="I250" i="1"/>
  <c r="A251" i="1"/>
  <c r="B251" i="1"/>
  <c r="C251" i="1"/>
  <c r="D251" i="1"/>
  <c r="E251" i="1"/>
  <c r="F251" i="1"/>
  <c r="G251" i="1"/>
  <c r="H251" i="1"/>
  <c r="I251" i="1"/>
  <c r="A252" i="1"/>
  <c r="B252" i="1"/>
  <c r="C252" i="1"/>
  <c r="D252" i="1"/>
  <c r="E252" i="1"/>
  <c r="F252" i="1"/>
  <c r="G252" i="1"/>
  <c r="H252" i="1"/>
  <c r="I252" i="1"/>
  <c r="A253" i="1"/>
  <c r="B253" i="1"/>
  <c r="C253" i="1"/>
  <c r="D253" i="1"/>
  <c r="E253" i="1"/>
  <c r="F253" i="1"/>
  <c r="G253" i="1"/>
  <c r="H253" i="1"/>
  <c r="I253" i="1"/>
  <c r="A254" i="1"/>
  <c r="B254" i="1"/>
  <c r="C254" i="1"/>
  <c r="D254" i="1"/>
  <c r="E254" i="1"/>
  <c r="F254" i="1"/>
  <c r="G254" i="1"/>
  <c r="H254" i="1"/>
  <c r="I254" i="1"/>
  <c r="A255" i="1"/>
  <c r="B255" i="1"/>
  <c r="C255" i="1"/>
  <c r="D255" i="1"/>
  <c r="E255" i="1"/>
  <c r="F255" i="1"/>
  <c r="G255" i="1"/>
  <c r="H255" i="1"/>
  <c r="I255" i="1"/>
  <c r="A256" i="1"/>
  <c r="B256" i="1"/>
  <c r="C256" i="1"/>
  <c r="D256" i="1"/>
  <c r="E256" i="1"/>
  <c r="F256" i="1"/>
  <c r="G256" i="1"/>
  <c r="H256" i="1"/>
  <c r="I256" i="1"/>
  <c r="A257" i="1"/>
  <c r="B257" i="1"/>
  <c r="C257" i="1"/>
  <c r="D257" i="1"/>
  <c r="E257" i="1"/>
  <c r="F257" i="1"/>
  <c r="G257" i="1"/>
  <c r="H257" i="1"/>
  <c r="I257" i="1"/>
  <c r="A258" i="1"/>
  <c r="B258" i="1"/>
  <c r="C258" i="1"/>
  <c r="D258" i="1"/>
  <c r="E258" i="1"/>
  <c r="F258" i="1"/>
  <c r="G258" i="1"/>
  <c r="H258" i="1"/>
  <c r="I258" i="1"/>
  <c r="A259" i="1"/>
  <c r="B259" i="1"/>
  <c r="C259" i="1"/>
  <c r="D259" i="1"/>
  <c r="E259" i="1"/>
  <c r="F259" i="1"/>
  <c r="G259" i="1"/>
  <c r="H259" i="1"/>
  <c r="I259" i="1"/>
  <c r="A260" i="1"/>
  <c r="B260" i="1"/>
  <c r="C260" i="1"/>
  <c r="D260" i="1"/>
  <c r="E260" i="1"/>
  <c r="F260" i="1"/>
  <c r="G260" i="1"/>
  <c r="H260" i="1"/>
  <c r="I260" i="1"/>
  <c r="A261" i="1"/>
  <c r="B261" i="1"/>
  <c r="C261" i="1"/>
  <c r="D261" i="1"/>
  <c r="E261" i="1"/>
  <c r="F261" i="1"/>
  <c r="G261" i="1"/>
  <c r="H261" i="1"/>
  <c r="I261" i="1"/>
  <c r="A262" i="1"/>
  <c r="B262" i="1"/>
  <c r="C262" i="1"/>
  <c r="D262" i="1"/>
  <c r="E262" i="1"/>
  <c r="F262" i="1"/>
  <c r="G262" i="1"/>
  <c r="H262" i="1"/>
  <c r="I262" i="1"/>
  <c r="A263" i="1"/>
  <c r="B263" i="1"/>
  <c r="C263" i="1"/>
  <c r="D263" i="1"/>
  <c r="E263" i="1"/>
  <c r="F263" i="1"/>
  <c r="G263" i="1"/>
  <c r="H263" i="1"/>
  <c r="I263" i="1"/>
  <c r="A264" i="1"/>
  <c r="B264" i="1"/>
  <c r="C264" i="1"/>
  <c r="D264" i="1"/>
  <c r="E264" i="1"/>
  <c r="F264" i="1"/>
  <c r="G264" i="1"/>
  <c r="H264" i="1"/>
  <c r="I264" i="1"/>
  <c r="A265" i="1"/>
  <c r="B265" i="1"/>
  <c r="C265" i="1"/>
  <c r="D265" i="1"/>
  <c r="E265" i="1"/>
  <c r="F265" i="1"/>
  <c r="G265" i="1"/>
  <c r="H265" i="1"/>
  <c r="I265" i="1"/>
  <c r="A266" i="1"/>
  <c r="B266" i="1"/>
  <c r="C266" i="1"/>
  <c r="D266" i="1"/>
  <c r="E266" i="1"/>
  <c r="F266" i="1"/>
  <c r="G266" i="1"/>
  <c r="H266" i="1"/>
  <c r="I266" i="1"/>
  <c r="A267" i="1"/>
  <c r="B267" i="1"/>
  <c r="C267" i="1"/>
  <c r="D267" i="1"/>
  <c r="E267" i="1"/>
  <c r="F267" i="1"/>
  <c r="G267" i="1"/>
  <c r="H267" i="1"/>
  <c r="I267" i="1"/>
  <c r="A268" i="1"/>
  <c r="B268" i="1"/>
  <c r="C268" i="1"/>
  <c r="D268" i="1"/>
  <c r="E268" i="1"/>
  <c r="F268" i="1"/>
  <c r="G268" i="1"/>
  <c r="H268" i="1"/>
  <c r="I268" i="1"/>
  <c r="A269" i="1"/>
  <c r="B269" i="1"/>
  <c r="C269" i="1"/>
  <c r="D269" i="1"/>
  <c r="E269" i="1"/>
  <c r="F269" i="1"/>
  <c r="G269" i="1"/>
  <c r="H269" i="1"/>
  <c r="I269" i="1"/>
  <c r="A270" i="1"/>
  <c r="B270" i="1"/>
  <c r="C270" i="1"/>
  <c r="D270" i="1"/>
  <c r="E270" i="1"/>
  <c r="F270" i="1"/>
  <c r="G270" i="1"/>
  <c r="H270" i="1"/>
  <c r="I270" i="1"/>
  <c r="A271" i="1"/>
  <c r="B271" i="1"/>
  <c r="C271" i="1"/>
  <c r="D271" i="1"/>
  <c r="E271" i="1"/>
  <c r="F271" i="1"/>
  <c r="G271" i="1"/>
  <c r="H271" i="1"/>
  <c r="I271" i="1"/>
  <c r="A272" i="1"/>
  <c r="B272" i="1"/>
  <c r="C272" i="1"/>
  <c r="D272" i="1"/>
  <c r="E272" i="1"/>
  <c r="F272" i="1"/>
  <c r="G272" i="1"/>
  <c r="H272" i="1"/>
  <c r="I272" i="1"/>
  <c r="A273" i="1"/>
  <c r="B273" i="1"/>
  <c r="C273" i="1"/>
  <c r="D273" i="1"/>
  <c r="E273" i="1"/>
  <c r="F273" i="1"/>
  <c r="G273" i="1"/>
  <c r="H273" i="1"/>
  <c r="I273" i="1"/>
  <c r="A274" i="1"/>
  <c r="B274" i="1"/>
  <c r="C274" i="1"/>
  <c r="D274" i="1"/>
  <c r="E274" i="1"/>
  <c r="F274" i="1"/>
  <c r="G274" i="1"/>
  <c r="H274" i="1"/>
  <c r="I274" i="1"/>
  <c r="A275" i="1"/>
  <c r="B275" i="1"/>
  <c r="C275" i="1"/>
  <c r="D275" i="1"/>
  <c r="E275" i="1"/>
  <c r="F275" i="1"/>
  <c r="G275" i="1"/>
  <c r="H275" i="1"/>
  <c r="I275" i="1"/>
  <c r="A276" i="1"/>
  <c r="B276" i="1"/>
  <c r="C276" i="1"/>
  <c r="D276" i="1"/>
  <c r="E276" i="1"/>
  <c r="F276" i="1"/>
  <c r="G276" i="1"/>
  <c r="H276" i="1"/>
  <c r="I276" i="1"/>
  <c r="A277" i="1"/>
  <c r="B277" i="1"/>
  <c r="C277" i="1"/>
  <c r="D277" i="1"/>
  <c r="E277" i="1"/>
  <c r="F277" i="1"/>
  <c r="G277" i="1"/>
  <c r="H277" i="1"/>
  <c r="I277" i="1"/>
  <c r="A278" i="1"/>
  <c r="B278" i="1"/>
  <c r="C278" i="1"/>
  <c r="D278" i="1"/>
  <c r="E278" i="1"/>
  <c r="F278" i="1"/>
  <c r="G278" i="1"/>
  <c r="H278" i="1"/>
  <c r="I278" i="1"/>
  <c r="A279" i="1"/>
  <c r="B279" i="1"/>
  <c r="C279" i="1"/>
  <c r="D279" i="1"/>
  <c r="E279" i="1"/>
  <c r="F279" i="1"/>
  <c r="G279" i="1"/>
  <c r="H279" i="1"/>
  <c r="I279" i="1"/>
  <c r="A280" i="1"/>
  <c r="B280" i="1"/>
  <c r="C280" i="1"/>
  <c r="D280" i="1"/>
  <c r="E280" i="1"/>
  <c r="F280" i="1"/>
  <c r="G280" i="1"/>
  <c r="H280" i="1"/>
  <c r="I280" i="1"/>
  <c r="A281" i="1"/>
  <c r="B281" i="1"/>
  <c r="C281" i="1"/>
  <c r="D281" i="1"/>
  <c r="E281" i="1"/>
  <c r="F281" i="1"/>
  <c r="G281" i="1"/>
  <c r="H281" i="1"/>
  <c r="I281" i="1"/>
  <c r="A282" i="1"/>
  <c r="B282" i="1"/>
  <c r="C282" i="1"/>
  <c r="D282" i="1"/>
  <c r="E282" i="1"/>
  <c r="F282" i="1"/>
  <c r="G282" i="1"/>
  <c r="H282" i="1"/>
  <c r="I282" i="1"/>
  <c r="A283" i="1"/>
  <c r="B283" i="1"/>
  <c r="C283" i="1"/>
  <c r="D283" i="1"/>
  <c r="E283" i="1"/>
  <c r="F283" i="1"/>
  <c r="G283" i="1"/>
  <c r="H283" i="1"/>
  <c r="I283" i="1"/>
  <c r="A284" i="1"/>
  <c r="B284" i="1"/>
  <c r="C284" i="1"/>
  <c r="D284" i="1"/>
  <c r="E284" i="1"/>
  <c r="F284" i="1"/>
  <c r="G284" i="1"/>
  <c r="H284" i="1"/>
  <c r="I284" i="1"/>
  <c r="A285" i="1"/>
  <c r="B285" i="1"/>
  <c r="C285" i="1"/>
  <c r="D285" i="1"/>
  <c r="E285" i="1"/>
  <c r="F285" i="1"/>
  <c r="G285" i="1"/>
  <c r="H285" i="1"/>
  <c r="I285" i="1"/>
  <c r="A286" i="1"/>
  <c r="B286" i="1"/>
  <c r="C286" i="1"/>
  <c r="D286" i="1"/>
  <c r="E286" i="1"/>
  <c r="F286" i="1"/>
  <c r="G286" i="1"/>
  <c r="H286" i="1"/>
  <c r="I286" i="1"/>
  <c r="A287" i="1"/>
  <c r="B287" i="1"/>
  <c r="C287" i="1"/>
  <c r="D287" i="1"/>
  <c r="E287" i="1"/>
  <c r="F287" i="1"/>
  <c r="G287" i="1"/>
  <c r="H287" i="1"/>
  <c r="I287" i="1"/>
  <c r="A288" i="1"/>
  <c r="B288" i="1"/>
  <c r="C288" i="1"/>
  <c r="D288" i="1"/>
  <c r="E288" i="1"/>
  <c r="F288" i="1"/>
  <c r="G288" i="1"/>
  <c r="H288" i="1"/>
  <c r="I288" i="1"/>
  <c r="A289" i="1"/>
  <c r="B289" i="1"/>
  <c r="C289" i="1"/>
  <c r="D289" i="1"/>
  <c r="E289" i="1"/>
  <c r="F289" i="1"/>
  <c r="G289" i="1"/>
  <c r="H289" i="1"/>
  <c r="I289" i="1"/>
  <c r="A290" i="1"/>
  <c r="B290" i="1"/>
  <c r="C290" i="1"/>
  <c r="D290" i="1"/>
  <c r="E290" i="1"/>
  <c r="F290" i="1"/>
  <c r="G290" i="1"/>
  <c r="H290" i="1"/>
  <c r="I290" i="1"/>
  <c r="A291" i="1"/>
  <c r="B291" i="1"/>
  <c r="C291" i="1"/>
  <c r="D291" i="1"/>
  <c r="E291" i="1"/>
  <c r="F291" i="1"/>
  <c r="G291" i="1"/>
  <c r="H291" i="1"/>
  <c r="I291" i="1"/>
  <c r="A292" i="1"/>
  <c r="B292" i="1"/>
  <c r="C292" i="1"/>
  <c r="D292" i="1"/>
  <c r="E292" i="1"/>
  <c r="F292" i="1"/>
  <c r="G292" i="1"/>
  <c r="H292" i="1"/>
  <c r="I292" i="1"/>
  <c r="A293" i="1"/>
  <c r="B293" i="1"/>
  <c r="C293" i="1"/>
  <c r="D293" i="1"/>
  <c r="E293" i="1"/>
  <c r="F293" i="1"/>
  <c r="G293" i="1"/>
  <c r="H293" i="1"/>
  <c r="I293" i="1"/>
  <c r="A294" i="1"/>
  <c r="B294" i="1"/>
  <c r="C294" i="1"/>
  <c r="D294" i="1"/>
  <c r="E294" i="1"/>
  <c r="F294" i="1"/>
  <c r="G294" i="1"/>
  <c r="H294" i="1"/>
  <c r="I294" i="1"/>
  <c r="A295" i="1"/>
  <c r="B295" i="1"/>
  <c r="C295" i="1"/>
  <c r="D295" i="1"/>
  <c r="E295" i="1"/>
  <c r="F295" i="1"/>
  <c r="G295" i="1"/>
  <c r="H295" i="1"/>
  <c r="I295" i="1"/>
  <c r="A296" i="1"/>
  <c r="B296" i="1"/>
  <c r="C296" i="1"/>
  <c r="D296" i="1"/>
  <c r="E296" i="1"/>
  <c r="F296" i="1"/>
  <c r="G296" i="1"/>
  <c r="H296" i="1"/>
  <c r="I296" i="1"/>
  <c r="A297" i="1"/>
  <c r="B297" i="1"/>
  <c r="C297" i="1"/>
  <c r="D297" i="1"/>
  <c r="E297" i="1"/>
  <c r="F297" i="1"/>
  <c r="G297" i="1"/>
  <c r="H297" i="1"/>
  <c r="I297" i="1"/>
  <c r="A298" i="1"/>
  <c r="B298" i="1"/>
  <c r="C298" i="1"/>
  <c r="D298" i="1"/>
  <c r="E298" i="1"/>
  <c r="F298" i="1"/>
  <c r="G298" i="1"/>
  <c r="H298" i="1"/>
  <c r="I298" i="1"/>
  <c r="A299" i="1"/>
  <c r="B299" i="1"/>
  <c r="C299" i="1"/>
  <c r="D299" i="1"/>
  <c r="E299" i="1"/>
  <c r="F299" i="1"/>
  <c r="G299" i="1"/>
  <c r="H299" i="1"/>
  <c r="I299" i="1"/>
  <c r="A300" i="1"/>
  <c r="B300" i="1"/>
  <c r="C300" i="1"/>
  <c r="D300" i="1"/>
  <c r="E300" i="1"/>
  <c r="F300" i="1"/>
  <c r="G300" i="1"/>
  <c r="H300" i="1"/>
  <c r="I300" i="1"/>
  <c r="A301" i="1"/>
  <c r="B301" i="1"/>
  <c r="C301" i="1"/>
  <c r="D301" i="1"/>
  <c r="E301" i="1"/>
  <c r="F301" i="1"/>
  <c r="G301" i="1"/>
  <c r="H301" i="1"/>
  <c r="I301" i="1"/>
  <c r="A302" i="1"/>
  <c r="B302" i="1"/>
  <c r="C302" i="1"/>
  <c r="D302" i="1"/>
  <c r="E302" i="1"/>
  <c r="F302" i="1"/>
  <c r="G302" i="1"/>
  <c r="H302" i="1"/>
  <c r="I302" i="1"/>
  <c r="A303" i="1"/>
  <c r="B303" i="1"/>
  <c r="C303" i="1"/>
  <c r="D303" i="1"/>
  <c r="E303" i="1"/>
  <c r="F303" i="1"/>
  <c r="G303" i="1"/>
  <c r="H303" i="1"/>
  <c r="I303" i="1"/>
  <c r="A304" i="1"/>
  <c r="B304" i="1"/>
  <c r="C304" i="1"/>
  <c r="D304" i="1"/>
  <c r="E304" i="1"/>
  <c r="F304" i="1"/>
  <c r="G304" i="1"/>
  <c r="H304" i="1"/>
  <c r="I304" i="1"/>
  <c r="A305" i="1"/>
  <c r="B305" i="1"/>
  <c r="C305" i="1"/>
  <c r="D305" i="1"/>
  <c r="E305" i="1"/>
  <c r="F305" i="1"/>
  <c r="G305" i="1"/>
  <c r="H305" i="1"/>
  <c r="I305" i="1"/>
  <c r="A306" i="1"/>
  <c r="B306" i="1"/>
  <c r="C306" i="1"/>
  <c r="D306" i="1"/>
  <c r="E306" i="1"/>
  <c r="F306" i="1"/>
  <c r="G306" i="1"/>
  <c r="H306" i="1"/>
  <c r="I306" i="1"/>
  <c r="A307" i="1"/>
  <c r="B307" i="1"/>
  <c r="C307" i="1"/>
  <c r="D307" i="1"/>
  <c r="E307" i="1"/>
  <c r="F307" i="1"/>
  <c r="G307" i="1"/>
  <c r="H307" i="1"/>
  <c r="I307" i="1"/>
  <c r="A308" i="1"/>
  <c r="B308" i="1"/>
  <c r="C308" i="1"/>
  <c r="D308" i="1"/>
  <c r="E308" i="1"/>
  <c r="F308" i="1"/>
  <c r="G308" i="1"/>
  <c r="H308" i="1"/>
  <c r="I308" i="1"/>
  <c r="A309" i="1"/>
  <c r="B309" i="1"/>
  <c r="C309" i="1"/>
  <c r="D309" i="1"/>
  <c r="E309" i="1"/>
  <c r="F309" i="1"/>
  <c r="G309" i="1"/>
  <c r="H309" i="1"/>
  <c r="I309" i="1"/>
  <c r="A310" i="1"/>
  <c r="B310" i="1"/>
  <c r="C310" i="1"/>
  <c r="D310" i="1"/>
  <c r="E310" i="1"/>
  <c r="F310" i="1"/>
  <c r="G310" i="1"/>
  <c r="H310" i="1"/>
  <c r="I310" i="1"/>
  <c r="A311" i="1"/>
  <c r="B311" i="1"/>
  <c r="C311" i="1"/>
  <c r="D311" i="1"/>
  <c r="E311" i="1"/>
  <c r="F311" i="1"/>
  <c r="G311" i="1"/>
  <c r="H311" i="1"/>
  <c r="I311" i="1"/>
  <c r="A312" i="1"/>
  <c r="B312" i="1"/>
  <c r="C312" i="1"/>
  <c r="D312" i="1"/>
  <c r="E312" i="1"/>
  <c r="F312" i="1"/>
  <c r="G312" i="1"/>
  <c r="H312" i="1"/>
  <c r="I312" i="1"/>
  <c r="A313" i="1"/>
  <c r="B313" i="1"/>
  <c r="C313" i="1"/>
  <c r="D313" i="1"/>
  <c r="E313" i="1"/>
  <c r="F313" i="1"/>
  <c r="G313" i="1"/>
  <c r="H313" i="1"/>
  <c r="I313" i="1"/>
  <c r="A314" i="1"/>
  <c r="B314" i="1"/>
  <c r="C314" i="1"/>
  <c r="D314" i="1"/>
  <c r="E314" i="1"/>
  <c r="F314" i="1"/>
  <c r="G314" i="1"/>
  <c r="H314" i="1"/>
  <c r="I314" i="1"/>
  <c r="A315" i="1"/>
  <c r="B315" i="1"/>
  <c r="C315" i="1"/>
  <c r="D315" i="1"/>
  <c r="E315" i="1"/>
  <c r="F315" i="1"/>
  <c r="G315" i="1"/>
  <c r="H315" i="1"/>
  <c r="I315" i="1"/>
  <c r="A316" i="1"/>
  <c r="B316" i="1"/>
  <c r="C316" i="1"/>
  <c r="D316" i="1"/>
  <c r="E316" i="1"/>
  <c r="F316" i="1"/>
  <c r="G316" i="1"/>
  <c r="H316" i="1"/>
  <c r="I316" i="1"/>
  <c r="A317" i="1"/>
  <c r="B317" i="1"/>
  <c r="C317" i="1"/>
  <c r="D317" i="1"/>
  <c r="E317" i="1"/>
  <c r="F317" i="1"/>
  <c r="G317" i="1"/>
  <c r="H317" i="1"/>
  <c r="I317" i="1"/>
  <c r="A318" i="1"/>
  <c r="B318" i="1"/>
  <c r="C318" i="1"/>
  <c r="D318" i="1"/>
  <c r="E318" i="1"/>
  <c r="F318" i="1"/>
  <c r="G318" i="1"/>
  <c r="H318" i="1"/>
  <c r="I318" i="1"/>
  <c r="A319" i="1"/>
  <c r="B319" i="1"/>
  <c r="C319" i="1"/>
  <c r="D319" i="1"/>
  <c r="E319" i="1"/>
  <c r="F319" i="1"/>
  <c r="G319" i="1"/>
  <c r="H319" i="1"/>
  <c r="I319" i="1"/>
  <c r="A320" i="1"/>
  <c r="B320" i="1"/>
  <c r="C320" i="1"/>
  <c r="D320" i="1"/>
  <c r="E320" i="1"/>
  <c r="F320" i="1"/>
  <c r="G320" i="1"/>
  <c r="H320" i="1"/>
  <c r="I320" i="1"/>
  <c r="A321" i="1"/>
  <c r="B321" i="1"/>
  <c r="C321" i="1"/>
  <c r="D321" i="1"/>
  <c r="E321" i="1"/>
  <c r="F321" i="1"/>
  <c r="G321" i="1"/>
  <c r="H321" i="1"/>
  <c r="I321" i="1"/>
  <c r="A322" i="1"/>
  <c r="B322" i="1"/>
  <c r="C322" i="1"/>
  <c r="D322" i="1"/>
  <c r="E322" i="1"/>
  <c r="F322" i="1"/>
  <c r="G322" i="1"/>
  <c r="H322" i="1"/>
  <c r="I322" i="1"/>
  <c r="A323" i="1"/>
  <c r="B323" i="1"/>
  <c r="C323" i="1"/>
  <c r="D323" i="1"/>
  <c r="E323" i="1"/>
  <c r="F323" i="1"/>
  <c r="G323" i="1"/>
  <c r="H323" i="1"/>
  <c r="I323" i="1"/>
  <c r="A324" i="1"/>
  <c r="B324" i="1"/>
  <c r="C324" i="1"/>
  <c r="D324" i="1"/>
  <c r="E324" i="1"/>
  <c r="F324" i="1"/>
  <c r="G324" i="1"/>
  <c r="H324" i="1"/>
  <c r="I324" i="1"/>
  <c r="A325" i="1"/>
  <c r="B325" i="1"/>
  <c r="C325" i="1"/>
  <c r="D325" i="1"/>
  <c r="E325" i="1"/>
  <c r="F325" i="1"/>
  <c r="G325" i="1"/>
  <c r="H325" i="1"/>
  <c r="I325" i="1"/>
  <c r="A326" i="1"/>
  <c r="B326" i="1"/>
  <c r="C326" i="1"/>
  <c r="D326" i="1"/>
  <c r="E326" i="1"/>
  <c r="F326" i="1"/>
  <c r="G326" i="1"/>
  <c r="H326" i="1"/>
  <c r="I326" i="1"/>
  <c r="A327" i="1"/>
  <c r="B327" i="1"/>
  <c r="C327" i="1"/>
  <c r="D327" i="1"/>
  <c r="E327" i="1"/>
  <c r="F327" i="1"/>
  <c r="G327" i="1"/>
  <c r="H327" i="1"/>
  <c r="I327" i="1"/>
  <c r="A328" i="1"/>
  <c r="B328" i="1"/>
  <c r="C328" i="1"/>
  <c r="D328" i="1"/>
  <c r="E328" i="1"/>
  <c r="F328" i="1"/>
  <c r="G328" i="1"/>
  <c r="H328" i="1"/>
  <c r="I328" i="1"/>
  <c r="A329" i="1"/>
  <c r="B329" i="1"/>
  <c r="C329" i="1"/>
  <c r="D329" i="1"/>
  <c r="E329" i="1"/>
  <c r="F329" i="1"/>
  <c r="G329" i="1"/>
  <c r="H329" i="1"/>
  <c r="I329" i="1"/>
  <c r="A330" i="1"/>
  <c r="B330" i="1"/>
  <c r="C330" i="1"/>
  <c r="D330" i="1"/>
  <c r="E330" i="1"/>
  <c r="F330" i="1"/>
  <c r="G330" i="1"/>
  <c r="H330" i="1"/>
  <c r="I330" i="1"/>
  <c r="A331" i="1"/>
  <c r="B331" i="1"/>
  <c r="C331" i="1"/>
  <c r="D331" i="1"/>
  <c r="E331" i="1"/>
  <c r="F331" i="1"/>
  <c r="G331" i="1"/>
  <c r="H331" i="1"/>
  <c r="I331" i="1"/>
  <c r="A332" i="1"/>
  <c r="B332" i="1"/>
  <c r="C332" i="1"/>
  <c r="D332" i="1"/>
  <c r="E332" i="1"/>
  <c r="F332" i="1"/>
  <c r="G332" i="1"/>
  <c r="H332" i="1"/>
  <c r="I332" i="1"/>
  <c r="A333" i="1"/>
  <c r="B333" i="1"/>
  <c r="C333" i="1"/>
  <c r="D333" i="1"/>
  <c r="E333" i="1"/>
  <c r="F333" i="1"/>
  <c r="G333" i="1"/>
  <c r="H333" i="1"/>
  <c r="I333" i="1"/>
  <c r="A334" i="1"/>
  <c r="B334" i="1"/>
  <c r="C334" i="1"/>
  <c r="D334" i="1"/>
  <c r="E334" i="1"/>
  <c r="F334" i="1"/>
  <c r="G334" i="1"/>
  <c r="H334" i="1"/>
  <c r="I334" i="1"/>
  <c r="A335" i="1"/>
  <c r="B335" i="1"/>
  <c r="C335" i="1"/>
  <c r="D335" i="1"/>
  <c r="E335" i="1"/>
  <c r="F335" i="1"/>
  <c r="G335" i="1"/>
  <c r="H335" i="1"/>
  <c r="I335" i="1"/>
  <c r="A336" i="1"/>
  <c r="B336" i="1"/>
  <c r="C336" i="1"/>
  <c r="D336" i="1"/>
  <c r="E336" i="1"/>
  <c r="F336" i="1"/>
  <c r="G336" i="1"/>
  <c r="H336" i="1"/>
  <c r="I336" i="1"/>
  <c r="A337" i="1"/>
  <c r="B337" i="1"/>
  <c r="C337" i="1"/>
  <c r="D337" i="1"/>
  <c r="E337" i="1"/>
  <c r="F337" i="1"/>
  <c r="G337" i="1"/>
  <c r="H337" i="1"/>
  <c r="I337" i="1"/>
  <c r="A338" i="1"/>
  <c r="B338" i="1"/>
  <c r="C338" i="1"/>
  <c r="D338" i="1"/>
  <c r="E338" i="1"/>
  <c r="F338" i="1"/>
  <c r="G338" i="1"/>
  <c r="H338" i="1"/>
  <c r="I338" i="1"/>
  <c r="A339" i="1"/>
  <c r="B339" i="1"/>
  <c r="C339" i="1"/>
  <c r="D339" i="1"/>
  <c r="E339" i="1"/>
  <c r="F339" i="1"/>
  <c r="G339" i="1"/>
  <c r="H339" i="1"/>
  <c r="I339" i="1"/>
  <c r="A340" i="1"/>
  <c r="B340" i="1"/>
  <c r="C340" i="1"/>
  <c r="D340" i="1"/>
  <c r="E340" i="1"/>
  <c r="F340" i="1"/>
  <c r="G340" i="1"/>
  <c r="H340" i="1"/>
  <c r="I340" i="1"/>
  <c r="A341" i="1"/>
  <c r="B341" i="1"/>
  <c r="C341" i="1"/>
  <c r="D341" i="1"/>
  <c r="E341" i="1"/>
  <c r="F341" i="1"/>
  <c r="G341" i="1"/>
  <c r="H341" i="1"/>
  <c r="I341" i="1"/>
  <c r="A342" i="1"/>
  <c r="B342" i="1"/>
  <c r="C342" i="1"/>
  <c r="D342" i="1"/>
  <c r="E342" i="1"/>
  <c r="F342" i="1"/>
  <c r="G342" i="1"/>
  <c r="H342" i="1"/>
  <c r="I342" i="1"/>
  <c r="A343" i="1"/>
  <c r="B343" i="1"/>
  <c r="C343" i="1"/>
  <c r="D343" i="1"/>
  <c r="E343" i="1"/>
  <c r="F343" i="1"/>
  <c r="G343" i="1"/>
  <c r="H343" i="1"/>
  <c r="I343" i="1"/>
  <c r="A344" i="1"/>
  <c r="B344" i="1"/>
  <c r="C344" i="1"/>
  <c r="D344" i="1"/>
  <c r="E344" i="1"/>
  <c r="F344" i="1"/>
  <c r="G344" i="1"/>
  <c r="H344" i="1"/>
  <c r="I344" i="1"/>
  <c r="A345" i="1"/>
  <c r="B345" i="1"/>
  <c r="C345" i="1"/>
  <c r="D345" i="1"/>
  <c r="E345" i="1"/>
  <c r="F345" i="1"/>
  <c r="G345" i="1"/>
  <c r="H345" i="1"/>
  <c r="I345" i="1"/>
  <c r="A346" i="1"/>
  <c r="B346" i="1"/>
  <c r="C346" i="1"/>
  <c r="D346" i="1"/>
  <c r="E346" i="1"/>
  <c r="F346" i="1"/>
  <c r="G346" i="1"/>
  <c r="H346" i="1"/>
  <c r="I346" i="1"/>
  <c r="A347" i="1"/>
  <c r="B347" i="1"/>
  <c r="C347" i="1"/>
  <c r="D347" i="1"/>
  <c r="E347" i="1"/>
  <c r="F347" i="1"/>
  <c r="G347" i="1"/>
  <c r="H347" i="1"/>
  <c r="I347" i="1"/>
  <c r="A348" i="1"/>
  <c r="B348" i="1"/>
  <c r="C348" i="1"/>
  <c r="D348" i="1"/>
  <c r="E348" i="1"/>
  <c r="F348" i="1"/>
  <c r="G348" i="1"/>
  <c r="H348" i="1"/>
  <c r="I348" i="1"/>
  <c r="A349" i="1"/>
  <c r="B349" i="1"/>
  <c r="C349" i="1"/>
  <c r="D349" i="1"/>
  <c r="E349" i="1"/>
  <c r="F349" i="1"/>
  <c r="G349" i="1"/>
  <c r="H349" i="1"/>
  <c r="I349" i="1"/>
  <c r="A350" i="1"/>
  <c r="B350" i="1"/>
  <c r="C350" i="1"/>
  <c r="D350" i="1"/>
  <c r="E350" i="1"/>
  <c r="F350" i="1"/>
  <c r="G350" i="1"/>
  <c r="H350" i="1"/>
  <c r="I350" i="1"/>
  <c r="A351" i="1"/>
  <c r="B351" i="1"/>
  <c r="C351" i="1"/>
  <c r="D351" i="1"/>
  <c r="E351" i="1"/>
  <c r="F351" i="1"/>
  <c r="G351" i="1"/>
  <c r="H351" i="1"/>
  <c r="I351" i="1"/>
  <c r="A352" i="1"/>
  <c r="B352" i="1"/>
  <c r="C352" i="1"/>
  <c r="D352" i="1"/>
  <c r="E352" i="1"/>
  <c r="F352" i="1"/>
  <c r="G352" i="1"/>
  <c r="H352" i="1"/>
  <c r="I352" i="1"/>
  <c r="A353" i="1"/>
  <c r="B353" i="1"/>
  <c r="C353" i="1"/>
  <c r="D353" i="1"/>
  <c r="E353" i="1"/>
  <c r="F353" i="1"/>
  <c r="G353" i="1"/>
  <c r="H353" i="1"/>
  <c r="I353" i="1"/>
  <c r="A354" i="1"/>
  <c r="B354" i="1"/>
  <c r="C354" i="1"/>
  <c r="D354" i="1"/>
  <c r="E354" i="1"/>
  <c r="F354" i="1"/>
  <c r="G354" i="1"/>
  <c r="H354" i="1"/>
  <c r="I354" i="1"/>
  <c r="A355" i="1"/>
  <c r="B355" i="1"/>
  <c r="C355" i="1"/>
  <c r="D355" i="1"/>
  <c r="E355" i="1"/>
  <c r="F355" i="1"/>
  <c r="G355" i="1"/>
  <c r="H355" i="1"/>
  <c r="I355" i="1"/>
  <c r="A356" i="1"/>
  <c r="B356" i="1"/>
  <c r="C356" i="1"/>
  <c r="D356" i="1"/>
  <c r="E356" i="1"/>
  <c r="F356" i="1"/>
  <c r="G356" i="1"/>
  <c r="H356" i="1"/>
  <c r="I356" i="1"/>
  <c r="A357" i="1"/>
  <c r="B357" i="1"/>
  <c r="C357" i="1"/>
  <c r="D357" i="1"/>
  <c r="E357" i="1"/>
  <c r="F357" i="1"/>
  <c r="G357" i="1"/>
  <c r="H357" i="1"/>
  <c r="I357" i="1"/>
  <c r="A358" i="1"/>
  <c r="B358" i="1"/>
  <c r="C358" i="1"/>
  <c r="D358" i="1"/>
  <c r="E358" i="1"/>
  <c r="F358" i="1"/>
  <c r="G358" i="1"/>
  <c r="H358" i="1"/>
  <c r="I358" i="1"/>
  <c r="A359" i="1"/>
  <c r="B359" i="1"/>
  <c r="C359" i="1"/>
  <c r="D359" i="1"/>
  <c r="E359" i="1"/>
  <c r="F359" i="1"/>
  <c r="G359" i="1"/>
  <c r="H359" i="1"/>
  <c r="I359" i="1"/>
  <c r="A360" i="1"/>
  <c r="B360" i="1"/>
  <c r="C360" i="1"/>
  <c r="D360" i="1"/>
  <c r="E360" i="1"/>
  <c r="F360" i="1"/>
  <c r="G360" i="1"/>
  <c r="H360" i="1"/>
  <c r="I360" i="1"/>
  <c r="A361" i="1"/>
  <c r="B361" i="1"/>
  <c r="C361" i="1"/>
  <c r="D361" i="1"/>
  <c r="E361" i="1"/>
  <c r="F361" i="1"/>
  <c r="G361" i="1"/>
  <c r="H361" i="1"/>
  <c r="I361" i="1"/>
  <c r="A362" i="1"/>
  <c r="B362" i="1"/>
  <c r="C362" i="1"/>
  <c r="D362" i="1"/>
  <c r="E362" i="1"/>
  <c r="F362" i="1"/>
  <c r="G362" i="1"/>
  <c r="H362" i="1"/>
  <c r="I362" i="1"/>
  <c r="A363" i="1"/>
  <c r="B363" i="1"/>
  <c r="C363" i="1"/>
  <c r="D363" i="1"/>
  <c r="E363" i="1"/>
  <c r="F363" i="1"/>
  <c r="G363" i="1"/>
  <c r="H363" i="1"/>
  <c r="I363" i="1"/>
  <c r="A364" i="1"/>
  <c r="B364" i="1"/>
  <c r="C364" i="1"/>
  <c r="D364" i="1"/>
  <c r="E364" i="1"/>
  <c r="F364" i="1"/>
  <c r="G364" i="1"/>
  <c r="H364" i="1"/>
  <c r="I364" i="1"/>
  <c r="A365" i="1"/>
  <c r="B365" i="1"/>
  <c r="C365" i="1"/>
  <c r="D365" i="1"/>
  <c r="E365" i="1"/>
  <c r="F365" i="1"/>
  <c r="G365" i="1"/>
  <c r="H365" i="1"/>
  <c r="I365" i="1"/>
  <c r="A366" i="1"/>
  <c r="B366" i="1"/>
  <c r="C366" i="1"/>
  <c r="D366" i="1"/>
  <c r="E366" i="1"/>
  <c r="F366" i="1"/>
  <c r="G366" i="1"/>
  <c r="H366" i="1"/>
  <c r="I366" i="1"/>
  <c r="A367" i="1"/>
  <c r="B367" i="1"/>
  <c r="C367" i="1"/>
  <c r="D367" i="1"/>
  <c r="E367" i="1"/>
  <c r="F367" i="1"/>
  <c r="G367" i="1"/>
  <c r="H367" i="1"/>
  <c r="I367" i="1"/>
  <c r="A368" i="1"/>
  <c r="B368" i="1"/>
  <c r="C368" i="1"/>
  <c r="D368" i="1"/>
  <c r="E368" i="1"/>
  <c r="F368" i="1"/>
  <c r="G368" i="1"/>
  <c r="H368" i="1"/>
  <c r="I368" i="1"/>
  <c r="A369" i="1"/>
  <c r="B369" i="1"/>
  <c r="C369" i="1"/>
  <c r="D369" i="1"/>
  <c r="E369" i="1"/>
  <c r="F369" i="1"/>
  <c r="G369" i="1"/>
  <c r="H369" i="1"/>
  <c r="I369" i="1"/>
  <c r="A370" i="1"/>
  <c r="B370" i="1"/>
  <c r="C370" i="1"/>
  <c r="D370" i="1"/>
  <c r="E370" i="1"/>
  <c r="F370" i="1"/>
  <c r="G370" i="1"/>
  <c r="H370" i="1"/>
  <c r="I370" i="1"/>
  <c r="A371" i="1"/>
  <c r="B371" i="1"/>
  <c r="C371" i="1"/>
  <c r="D371" i="1"/>
  <c r="E371" i="1"/>
  <c r="F371" i="1"/>
  <c r="G371" i="1"/>
  <c r="H371" i="1"/>
  <c r="I371" i="1"/>
  <c r="A372" i="1"/>
  <c r="B372" i="1"/>
  <c r="C372" i="1"/>
  <c r="D372" i="1"/>
  <c r="E372" i="1"/>
  <c r="F372" i="1"/>
  <c r="G372" i="1"/>
  <c r="H372" i="1"/>
  <c r="I372" i="1"/>
  <c r="A373" i="1"/>
  <c r="B373" i="1"/>
  <c r="C373" i="1"/>
  <c r="D373" i="1"/>
  <c r="E373" i="1"/>
  <c r="F373" i="1"/>
  <c r="G373" i="1"/>
  <c r="H373" i="1"/>
  <c r="I373" i="1"/>
  <c r="A374" i="1"/>
  <c r="B374" i="1"/>
  <c r="C374" i="1"/>
  <c r="D374" i="1"/>
  <c r="E374" i="1"/>
  <c r="F374" i="1"/>
  <c r="G374" i="1"/>
  <c r="H374" i="1"/>
  <c r="I374" i="1"/>
  <c r="A375" i="1"/>
  <c r="B375" i="1"/>
  <c r="C375" i="1"/>
  <c r="D375" i="1"/>
  <c r="E375" i="1"/>
  <c r="F375" i="1"/>
  <c r="G375" i="1"/>
  <c r="H375" i="1"/>
  <c r="I375" i="1"/>
  <c r="A376" i="1"/>
  <c r="B376" i="1"/>
  <c r="C376" i="1"/>
  <c r="D376" i="1"/>
  <c r="E376" i="1"/>
  <c r="F376" i="1"/>
  <c r="G376" i="1"/>
  <c r="H376" i="1"/>
  <c r="I376" i="1"/>
  <c r="A377" i="1"/>
  <c r="B377" i="1"/>
  <c r="C377" i="1"/>
  <c r="D377" i="1"/>
  <c r="E377" i="1"/>
  <c r="F377" i="1"/>
  <c r="G377" i="1"/>
  <c r="H377" i="1"/>
  <c r="I377" i="1"/>
  <c r="A378" i="1"/>
  <c r="B378" i="1"/>
  <c r="C378" i="1"/>
  <c r="D378" i="1"/>
  <c r="E378" i="1"/>
  <c r="F378" i="1"/>
  <c r="G378" i="1"/>
  <c r="H378" i="1"/>
  <c r="I378" i="1"/>
  <c r="A379" i="1"/>
  <c r="B379" i="1"/>
  <c r="C379" i="1"/>
  <c r="D379" i="1"/>
  <c r="E379" i="1"/>
  <c r="F379" i="1"/>
  <c r="G379" i="1"/>
  <c r="H379" i="1"/>
  <c r="I379" i="1"/>
  <c r="A380" i="1"/>
  <c r="B380" i="1"/>
  <c r="C380" i="1"/>
  <c r="D380" i="1"/>
  <c r="E380" i="1"/>
  <c r="F380" i="1"/>
  <c r="G380" i="1"/>
  <c r="H380" i="1"/>
  <c r="I380" i="1"/>
  <c r="A381" i="1"/>
  <c r="B381" i="1"/>
  <c r="C381" i="1"/>
  <c r="D381" i="1"/>
  <c r="E381" i="1"/>
  <c r="F381" i="1"/>
  <c r="G381" i="1"/>
  <c r="H381" i="1"/>
  <c r="I381" i="1"/>
  <c r="A382" i="1"/>
  <c r="B382" i="1"/>
  <c r="C382" i="1"/>
  <c r="D382" i="1"/>
  <c r="E382" i="1"/>
  <c r="F382" i="1"/>
  <c r="G382" i="1"/>
  <c r="H382" i="1"/>
  <c r="I382" i="1"/>
  <c r="A383" i="1"/>
  <c r="B383" i="1"/>
  <c r="C383" i="1"/>
  <c r="D383" i="1"/>
  <c r="E383" i="1"/>
  <c r="F383" i="1"/>
  <c r="G383" i="1"/>
  <c r="H383" i="1"/>
  <c r="I383" i="1"/>
  <c r="A384" i="1"/>
  <c r="B384" i="1"/>
  <c r="C384" i="1"/>
  <c r="D384" i="1"/>
  <c r="E384" i="1"/>
  <c r="F384" i="1"/>
  <c r="G384" i="1"/>
  <c r="H384" i="1"/>
  <c r="I384" i="1"/>
  <c r="A385" i="1"/>
  <c r="B385" i="1"/>
  <c r="C385" i="1"/>
  <c r="D385" i="1"/>
  <c r="E385" i="1"/>
  <c r="F385" i="1"/>
  <c r="G385" i="1"/>
  <c r="H385" i="1"/>
  <c r="I385" i="1"/>
  <c r="A386" i="1"/>
  <c r="B386" i="1"/>
  <c r="C386" i="1"/>
  <c r="D386" i="1"/>
  <c r="E386" i="1"/>
  <c r="F386" i="1"/>
  <c r="G386" i="1"/>
  <c r="H386" i="1"/>
  <c r="I386" i="1"/>
  <c r="A387" i="1"/>
  <c r="B387" i="1"/>
  <c r="C387" i="1"/>
  <c r="D387" i="1"/>
  <c r="E387" i="1"/>
  <c r="F387" i="1"/>
  <c r="G387" i="1"/>
  <c r="H387" i="1"/>
  <c r="I387" i="1"/>
  <c r="A388" i="1"/>
  <c r="B388" i="1"/>
  <c r="C388" i="1"/>
  <c r="D388" i="1"/>
  <c r="E388" i="1"/>
  <c r="F388" i="1"/>
  <c r="G388" i="1"/>
  <c r="H388" i="1"/>
  <c r="I388" i="1"/>
  <c r="A389" i="1"/>
  <c r="B389" i="1"/>
  <c r="C389" i="1"/>
  <c r="D389" i="1"/>
  <c r="E389" i="1"/>
  <c r="F389" i="1"/>
  <c r="G389" i="1"/>
  <c r="H389" i="1"/>
  <c r="I389" i="1"/>
  <c r="A390" i="1"/>
  <c r="B390" i="1"/>
  <c r="C390" i="1"/>
  <c r="D390" i="1"/>
  <c r="E390" i="1"/>
  <c r="F390" i="1"/>
  <c r="G390" i="1"/>
  <c r="H390" i="1"/>
  <c r="I390" i="1"/>
  <c r="A391" i="1"/>
  <c r="B391" i="1"/>
  <c r="C391" i="1"/>
  <c r="D391" i="1"/>
  <c r="E391" i="1"/>
  <c r="F391" i="1"/>
  <c r="G391" i="1"/>
  <c r="H391" i="1"/>
  <c r="I391" i="1"/>
  <c r="A392" i="1"/>
  <c r="B392" i="1"/>
  <c r="C392" i="1"/>
  <c r="D392" i="1"/>
  <c r="E392" i="1"/>
  <c r="F392" i="1"/>
  <c r="G392" i="1"/>
  <c r="H392" i="1"/>
  <c r="I392" i="1"/>
  <c r="A393" i="1"/>
  <c r="B393" i="1"/>
  <c r="C393" i="1"/>
  <c r="D393" i="1"/>
  <c r="E393" i="1"/>
  <c r="F393" i="1"/>
  <c r="G393" i="1"/>
  <c r="H393" i="1"/>
  <c r="I393" i="1"/>
  <c r="A394" i="1"/>
  <c r="B394" i="1"/>
  <c r="C394" i="1"/>
  <c r="D394" i="1"/>
  <c r="E394" i="1"/>
  <c r="F394" i="1"/>
  <c r="G394" i="1"/>
  <c r="H394" i="1"/>
  <c r="I394" i="1"/>
  <c r="A395" i="1"/>
  <c r="B395" i="1"/>
  <c r="C395" i="1"/>
  <c r="D395" i="1"/>
  <c r="E395" i="1"/>
  <c r="F395" i="1"/>
  <c r="G395" i="1"/>
  <c r="H395" i="1"/>
  <c r="I395" i="1"/>
  <c r="A396" i="1"/>
  <c r="B396" i="1"/>
  <c r="C396" i="1"/>
  <c r="D396" i="1"/>
  <c r="E396" i="1"/>
  <c r="F396" i="1"/>
  <c r="G396" i="1"/>
  <c r="H396" i="1"/>
  <c r="I396" i="1"/>
  <c r="A397" i="1"/>
  <c r="B397" i="1"/>
  <c r="C397" i="1"/>
  <c r="D397" i="1"/>
  <c r="E397" i="1"/>
  <c r="F397" i="1"/>
  <c r="G397" i="1"/>
  <c r="H397" i="1"/>
  <c r="I397" i="1"/>
  <c r="A398" i="1"/>
  <c r="B398" i="1"/>
  <c r="C398" i="1"/>
  <c r="D398" i="1"/>
  <c r="E398" i="1"/>
  <c r="F398" i="1"/>
  <c r="G398" i="1"/>
  <c r="H398" i="1"/>
  <c r="I398" i="1"/>
  <c r="A399" i="1"/>
  <c r="B399" i="1"/>
  <c r="C399" i="1"/>
  <c r="D399" i="1"/>
  <c r="E399" i="1"/>
  <c r="F399" i="1"/>
  <c r="G399" i="1"/>
  <c r="H399" i="1"/>
  <c r="I399" i="1"/>
  <c r="A400" i="1"/>
  <c r="B400" i="1"/>
  <c r="C400" i="1"/>
  <c r="D400" i="1"/>
  <c r="E400" i="1"/>
  <c r="F400" i="1"/>
  <c r="G400" i="1"/>
  <c r="H400" i="1"/>
  <c r="I400" i="1"/>
  <c r="A401" i="1"/>
  <c r="B401" i="1"/>
  <c r="C401" i="1"/>
  <c r="D401" i="1"/>
  <c r="E401" i="1"/>
  <c r="F401" i="1"/>
  <c r="G401" i="1"/>
  <c r="H401" i="1"/>
  <c r="I401" i="1"/>
  <c r="A402" i="1"/>
  <c r="B402" i="1"/>
  <c r="C402" i="1"/>
  <c r="D402" i="1"/>
  <c r="E402" i="1"/>
  <c r="F402" i="1"/>
  <c r="G402" i="1"/>
  <c r="H402" i="1"/>
  <c r="I402" i="1"/>
  <c r="A403" i="1"/>
  <c r="B403" i="1"/>
  <c r="C403" i="1"/>
  <c r="D403" i="1"/>
  <c r="E403" i="1"/>
  <c r="F403" i="1"/>
  <c r="G403" i="1"/>
  <c r="H403" i="1"/>
  <c r="I403" i="1"/>
  <c r="A404" i="1"/>
  <c r="B404" i="1"/>
  <c r="C404" i="1"/>
  <c r="D404" i="1"/>
  <c r="E404" i="1"/>
  <c r="F404" i="1"/>
  <c r="G404" i="1"/>
  <c r="H404" i="1"/>
  <c r="I404" i="1"/>
  <c r="A405" i="1"/>
  <c r="B405" i="1"/>
  <c r="C405" i="1"/>
  <c r="D405" i="1"/>
  <c r="E405" i="1"/>
  <c r="F405" i="1"/>
  <c r="G405" i="1"/>
  <c r="H405" i="1"/>
  <c r="I405" i="1"/>
  <c r="A406" i="1"/>
  <c r="B406" i="1"/>
  <c r="C406" i="1"/>
  <c r="D406" i="1"/>
  <c r="E406" i="1"/>
  <c r="F406" i="1"/>
  <c r="G406" i="1"/>
  <c r="H406" i="1"/>
  <c r="I406" i="1"/>
  <c r="A407" i="1"/>
  <c r="B407" i="1"/>
  <c r="C407" i="1"/>
  <c r="D407" i="1"/>
  <c r="E407" i="1"/>
  <c r="F407" i="1"/>
  <c r="G407" i="1"/>
  <c r="H407" i="1"/>
  <c r="I407" i="1"/>
  <c r="A408" i="1"/>
  <c r="B408" i="1"/>
  <c r="C408" i="1"/>
  <c r="D408" i="1"/>
  <c r="E408" i="1"/>
  <c r="F408" i="1"/>
  <c r="G408" i="1"/>
  <c r="H408" i="1"/>
  <c r="I408" i="1"/>
  <c r="A409" i="1"/>
  <c r="B409" i="1"/>
  <c r="C409" i="1"/>
  <c r="D409" i="1"/>
  <c r="E409" i="1"/>
  <c r="F409" i="1"/>
  <c r="G409" i="1"/>
  <c r="H409" i="1"/>
  <c r="I409" i="1"/>
  <c r="A410" i="1"/>
  <c r="B410" i="1"/>
  <c r="C410" i="1"/>
  <c r="D410" i="1"/>
  <c r="E410" i="1"/>
  <c r="F410" i="1"/>
  <c r="G410" i="1"/>
  <c r="H410" i="1"/>
  <c r="I410" i="1"/>
  <c r="A411" i="1"/>
  <c r="B411" i="1"/>
  <c r="C411" i="1"/>
  <c r="D411" i="1"/>
  <c r="E411" i="1"/>
  <c r="F411" i="1"/>
  <c r="G411" i="1"/>
  <c r="H411" i="1"/>
  <c r="I411" i="1"/>
  <c r="A412" i="1"/>
  <c r="B412" i="1"/>
  <c r="C412" i="1"/>
  <c r="D412" i="1"/>
  <c r="E412" i="1"/>
  <c r="F412" i="1"/>
  <c r="G412" i="1"/>
  <c r="H412" i="1"/>
  <c r="I412" i="1"/>
  <c r="A413" i="1"/>
  <c r="B413" i="1"/>
  <c r="C413" i="1"/>
  <c r="D413" i="1"/>
  <c r="E413" i="1"/>
  <c r="F413" i="1"/>
  <c r="G413" i="1"/>
  <c r="H413" i="1"/>
  <c r="I413" i="1"/>
  <c r="A414" i="1"/>
  <c r="B414" i="1"/>
  <c r="C414" i="1"/>
  <c r="D414" i="1"/>
  <c r="E414" i="1"/>
  <c r="F414" i="1"/>
  <c r="G414" i="1"/>
  <c r="H414" i="1"/>
  <c r="I414" i="1"/>
  <c r="A415" i="1"/>
  <c r="B415" i="1"/>
  <c r="C415" i="1"/>
  <c r="D415" i="1"/>
  <c r="E415" i="1"/>
  <c r="F415" i="1"/>
  <c r="G415" i="1"/>
  <c r="H415" i="1"/>
  <c r="I415" i="1"/>
  <c r="A416" i="1"/>
  <c r="B416" i="1"/>
  <c r="C416" i="1"/>
  <c r="D416" i="1"/>
  <c r="E416" i="1"/>
  <c r="F416" i="1"/>
  <c r="G416" i="1"/>
  <c r="H416" i="1"/>
  <c r="I416" i="1"/>
  <c r="A417" i="1"/>
  <c r="B417" i="1"/>
  <c r="C417" i="1"/>
  <c r="D417" i="1"/>
  <c r="E417" i="1"/>
  <c r="F417" i="1"/>
  <c r="G417" i="1"/>
  <c r="H417" i="1"/>
  <c r="I417" i="1"/>
  <c r="A418" i="1"/>
  <c r="B418" i="1"/>
  <c r="C418" i="1"/>
  <c r="D418" i="1"/>
  <c r="E418" i="1"/>
  <c r="F418" i="1"/>
  <c r="G418" i="1"/>
  <c r="H418" i="1"/>
  <c r="I418" i="1"/>
  <c r="A419" i="1"/>
  <c r="B419" i="1"/>
  <c r="C419" i="1"/>
  <c r="D419" i="1"/>
  <c r="E419" i="1"/>
  <c r="F419" i="1"/>
  <c r="G419" i="1"/>
  <c r="H419" i="1"/>
  <c r="I419" i="1"/>
  <c r="A420" i="1"/>
  <c r="B420" i="1"/>
  <c r="C420" i="1"/>
  <c r="D420" i="1"/>
  <c r="E420" i="1"/>
  <c r="F420" i="1"/>
  <c r="G420" i="1"/>
  <c r="H420" i="1"/>
  <c r="I420" i="1"/>
  <c r="A421" i="1"/>
  <c r="B421" i="1"/>
  <c r="C421" i="1"/>
  <c r="D421" i="1"/>
  <c r="E421" i="1"/>
  <c r="F421" i="1"/>
  <c r="G421" i="1"/>
  <c r="H421" i="1"/>
  <c r="I421" i="1"/>
  <c r="A422" i="1"/>
  <c r="B422" i="1"/>
  <c r="C422" i="1"/>
  <c r="D422" i="1"/>
  <c r="E422" i="1"/>
  <c r="F422" i="1"/>
  <c r="G422" i="1"/>
  <c r="H422" i="1"/>
  <c r="I422" i="1"/>
  <c r="A423" i="1"/>
  <c r="B423" i="1"/>
  <c r="C423" i="1"/>
  <c r="D423" i="1"/>
  <c r="E423" i="1"/>
  <c r="F423" i="1"/>
  <c r="G423" i="1"/>
  <c r="H423" i="1"/>
  <c r="I423" i="1"/>
  <c r="A424" i="1"/>
  <c r="B424" i="1"/>
  <c r="C424" i="1"/>
  <c r="D424" i="1"/>
  <c r="E424" i="1"/>
  <c r="F424" i="1"/>
  <c r="G424" i="1"/>
  <c r="H424" i="1"/>
  <c r="I424" i="1"/>
  <c r="A425" i="1"/>
  <c r="B425" i="1"/>
  <c r="C425" i="1"/>
  <c r="D425" i="1"/>
  <c r="E425" i="1"/>
  <c r="F425" i="1"/>
  <c r="G425" i="1"/>
  <c r="H425" i="1"/>
  <c r="I425" i="1"/>
  <c r="A426" i="1"/>
  <c r="B426" i="1"/>
  <c r="C426" i="1"/>
  <c r="D426" i="1"/>
  <c r="E426" i="1"/>
  <c r="F426" i="1"/>
  <c r="G426" i="1"/>
  <c r="H426" i="1"/>
  <c r="I426" i="1"/>
  <c r="A427" i="1"/>
  <c r="B427" i="1"/>
  <c r="C427" i="1"/>
  <c r="D427" i="1"/>
  <c r="E427" i="1"/>
  <c r="F427" i="1"/>
  <c r="G427" i="1"/>
  <c r="H427" i="1"/>
  <c r="I427" i="1"/>
  <c r="A428" i="1"/>
  <c r="B428" i="1"/>
  <c r="C428" i="1"/>
  <c r="D428" i="1"/>
  <c r="E428" i="1"/>
  <c r="F428" i="1"/>
  <c r="G428" i="1"/>
  <c r="H428" i="1"/>
  <c r="I428" i="1"/>
  <c r="A429" i="1"/>
  <c r="B429" i="1"/>
  <c r="C429" i="1"/>
  <c r="D429" i="1"/>
  <c r="E429" i="1"/>
  <c r="F429" i="1"/>
  <c r="G429" i="1"/>
  <c r="H429" i="1"/>
  <c r="I429" i="1"/>
  <c r="A430" i="1"/>
  <c r="B430" i="1"/>
  <c r="C430" i="1"/>
  <c r="D430" i="1"/>
  <c r="E430" i="1"/>
  <c r="F430" i="1"/>
  <c r="G430" i="1"/>
  <c r="H430" i="1"/>
  <c r="I430" i="1"/>
  <c r="A431" i="1"/>
  <c r="B431" i="1"/>
  <c r="C431" i="1"/>
  <c r="D431" i="1"/>
  <c r="E431" i="1"/>
  <c r="F431" i="1"/>
  <c r="G431" i="1"/>
  <c r="H431" i="1"/>
  <c r="I431" i="1"/>
  <c r="A432" i="1"/>
  <c r="B432" i="1"/>
  <c r="C432" i="1"/>
  <c r="D432" i="1"/>
  <c r="E432" i="1"/>
  <c r="F432" i="1"/>
  <c r="G432" i="1"/>
  <c r="H432" i="1"/>
  <c r="I432" i="1"/>
  <c r="A433" i="1"/>
  <c r="B433" i="1"/>
  <c r="C433" i="1"/>
  <c r="D433" i="1"/>
  <c r="E433" i="1"/>
  <c r="F433" i="1"/>
  <c r="G433" i="1"/>
  <c r="H433" i="1"/>
  <c r="I433" i="1"/>
  <c r="A434" i="1"/>
  <c r="B434" i="1"/>
  <c r="C434" i="1"/>
  <c r="D434" i="1"/>
  <c r="E434" i="1"/>
  <c r="F434" i="1"/>
  <c r="G434" i="1"/>
  <c r="H434" i="1"/>
  <c r="I434" i="1"/>
  <c r="A435" i="1"/>
  <c r="B435" i="1"/>
  <c r="C435" i="1"/>
  <c r="D435" i="1"/>
  <c r="E435" i="1"/>
  <c r="F435" i="1"/>
  <c r="G435" i="1"/>
  <c r="H435" i="1"/>
  <c r="I435" i="1"/>
  <c r="A436" i="1"/>
  <c r="B436" i="1"/>
  <c r="C436" i="1"/>
  <c r="D436" i="1"/>
  <c r="E436" i="1"/>
  <c r="F436" i="1"/>
  <c r="G436" i="1"/>
  <c r="H436" i="1"/>
  <c r="I436" i="1"/>
  <c r="A437" i="1"/>
  <c r="B437" i="1"/>
  <c r="C437" i="1"/>
  <c r="D437" i="1"/>
  <c r="E437" i="1"/>
  <c r="F437" i="1"/>
  <c r="G437" i="1"/>
  <c r="H437" i="1"/>
  <c r="I437" i="1"/>
  <c r="A438" i="1"/>
  <c r="B438" i="1"/>
  <c r="C438" i="1"/>
  <c r="D438" i="1"/>
  <c r="E438" i="1"/>
  <c r="F438" i="1"/>
  <c r="G438" i="1"/>
  <c r="H438" i="1"/>
  <c r="I438" i="1"/>
  <c r="A439" i="1"/>
  <c r="B439" i="1"/>
  <c r="C439" i="1"/>
  <c r="D439" i="1"/>
  <c r="E439" i="1"/>
  <c r="F439" i="1"/>
  <c r="G439" i="1"/>
  <c r="H439" i="1"/>
  <c r="I439" i="1"/>
  <c r="A440" i="1"/>
  <c r="B440" i="1"/>
  <c r="C440" i="1"/>
  <c r="D440" i="1"/>
  <c r="E440" i="1"/>
  <c r="F440" i="1"/>
  <c r="G440" i="1"/>
  <c r="H440" i="1"/>
  <c r="I440" i="1"/>
  <c r="A441" i="1"/>
  <c r="B441" i="1"/>
  <c r="C441" i="1"/>
  <c r="D441" i="1"/>
  <c r="E441" i="1"/>
  <c r="F441" i="1"/>
  <c r="G441" i="1"/>
  <c r="H441" i="1"/>
  <c r="I441" i="1"/>
  <c r="A442" i="1"/>
  <c r="B442" i="1"/>
  <c r="C442" i="1"/>
  <c r="D442" i="1"/>
  <c r="E442" i="1"/>
  <c r="F442" i="1"/>
  <c r="G442" i="1"/>
  <c r="H442" i="1"/>
  <c r="I442" i="1"/>
  <c r="A443" i="1"/>
  <c r="B443" i="1"/>
  <c r="C443" i="1"/>
  <c r="D443" i="1"/>
  <c r="E443" i="1"/>
  <c r="F443" i="1"/>
  <c r="G443" i="1"/>
  <c r="H443" i="1"/>
  <c r="I443" i="1"/>
  <c r="A444" i="1"/>
  <c r="B444" i="1"/>
  <c r="C444" i="1"/>
  <c r="D444" i="1"/>
  <c r="E444" i="1"/>
  <c r="F444" i="1"/>
  <c r="G444" i="1"/>
  <c r="H444" i="1"/>
  <c r="I444" i="1"/>
  <c r="A445" i="1"/>
  <c r="B445" i="1"/>
  <c r="C445" i="1"/>
  <c r="D445" i="1"/>
  <c r="E445" i="1"/>
  <c r="F445" i="1"/>
  <c r="G445" i="1"/>
  <c r="H445" i="1"/>
  <c r="I445" i="1"/>
  <c r="A446" i="1"/>
  <c r="B446" i="1"/>
  <c r="C446" i="1"/>
  <c r="D446" i="1"/>
  <c r="E446" i="1"/>
  <c r="F446" i="1"/>
  <c r="G446" i="1"/>
  <c r="H446" i="1"/>
  <c r="I446" i="1"/>
  <c r="A447" i="1"/>
  <c r="B447" i="1"/>
  <c r="C447" i="1"/>
  <c r="D447" i="1"/>
  <c r="E447" i="1"/>
  <c r="F447" i="1"/>
  <c r="G447" i="1"/>
  <c r="H447" i="1"/>
  <c r="I447" i="1"/>
  <c r="A448" i="1"/>
  <c r="B448" i="1"/>
  <c r="C448" i="1"/>
  <c r="D448" i="1"/>
  <c r="E448" i="1"/>
  <c r="F448" i="1"/>
  <c r="G448" i="1"/>
  <c r="H448" i="1"/>
  <c r="I448" i="1"/>
  <c r="A449" i="1"/>
  <c r="B449" i="1"/>
  <c r="C449" i="1"/>
  <c r="D449" i="1"/>
  <c r="E449" i="1"/>
  <c r="F449" i="1"/>
  <c r="G449" i="1"/>
  <c r="H449" i="1"/>
  <c r="I449" i="1"/>
  <c r="A450" i="1"/>
  <c r="B450" i="1"/>
  <c r="C450" i="1"/>
  <c r="D450" i="1"/>
  <c r="E450" i="1"/>
  <c r="F450" i="1"/>
  <c r="G450" i="1"/>
  <c r="H450" i="1"/>
  <c r="I450" i="1"/>
  <c r="A451" i="1"/>
  <c r="B451" i="1"/>
  <c r="C451" i="1"/>
  <c r="D451" i="1"/>
  <c r="E451" i="1"/>
  <c r="F451" i="1"/>
  <c r="G451" i="1"/>
  <c r="H451" i="1"/>
  <c r="I451" i="1"/>
  <c r="A452" i="1"/>
  <c r="B452" i="1"/>
  <c r="C452" i="1"/>
  <c r="D452" i="1"/>
  <c r="E452" i="1"/>
  <c r="F452" i="1"/>
  <c r="G452" i="1"/>
  <c r="H452" i="1"/>
  <c r="I452" i="1"/>
  <c r="A453" i="1"/>
  <c r="B453" i="1"/>
  <c r="C453" i="1"/>
  <c r="D453" i="1"/>
  <c r="E453" i="1"/>
  <c r="F453" i="1"/>
  <c r="G453" i="1"/>
  <c r="H453" i="1"/>
  <c r="I453" i="1"/>
  <c r="A454" i="1"/>
  <c r="B454" i="1"/>
  <c r="C454" i="1"/>
  <c r="D454" i="1"/>
  <c r="E454" i="1"/>
  <c r="F454" i="1"/>
  <c r="G454" i="1"/>
  <c r="H454" i="1"/>
  <c r="I454" i="1"/>
  <c r="A455" i="1"/>
  <c r="B455" i="1"/>
  <c r="C455" i="1"/>
  <c r="D455" i="1"/>
  <c r="E455" i="1"/>
  <c r="F455" i="1"/>
  <c r="G455" i="1"/>
  <c r="H455" i="1"/>
  <c r="I455" i="1"/>
  <c r="A456" i="1"/>
  <c r="B456" i="1"/>
  <c r="C456" i="1"/>
  <c r="D456" i="1"/>
  <c r="E456" i="1"/>
  <c r="F456" i="1"/>
  <c r="G456" i="1"/>
  <c r="H456" i="1"/>
  <c r="I456" i="1"/>
  <c r="A457" i="1"/>
  <c r="B457" i="1"/>
  <c r="C457" i="1"/>
  <c r="D457" i="1"/>
  <c r="E457" i="1"/>
  <c r="F457" i="1"/>
  <c r="G457" i="1"/>
  <c r="H457" i="1"/>
  <c r="I457" i="1"/>
  <c r="A458" i="1"/>
  <c r="B458" i="1"/>
  <c r="C458" i="1"/>
  <c r="D458" i="1"/>
  <c r="E458" i="1"/>
  <c r="F458" i="1"/>
  <c r="G458" i="1"/>
  <c r="H458" i="1"/>
  <c r="I458" i="1"/>
  <c r="A459" i="1"/>
  <c r="B459" i="1"/>
  <c r="C459" i="1"/>
  <c r="D459" i="1"/>
  <c r="E459" i="1"/>
  <c r="F459" i="1"/>
  <c r="G459" i="1"/>
  <c r="H459" i="1"/>
  <c r="I459" i="1"/>
  <c r="A460" i="1"/>
  <c r="B460" i="1"/>
  <c r="C460" i="1"/>
  <c r="D460" i="1"/>
  <c r="E460" i="1"/>
  <c r="F460" i="1"/>
  <c r="G460" i="1"/>
  <c r="H460" i="1"/>
  <c r="I460" i="1"/>
  <c r="A461" i="1"/>
  <c r="B461" i="1"/>
  <c r="C461" i="1"/>
  <c r="D461" i="1"/>
  <c r="E461" i="1"/>
  <c r="F461" i="1"/>
  <c r="G461" i="1"/>
  <c r="H461" i="1"/>
  <c r="I461" i="1"/>
  <c r="A462" i="1"/>
  <c r="B462" i="1"/>
  <c r="C462" i="1"/>
  <c r="D462" i="1"/>
  <c r="E462" i="1"/>
  <c r="F462" i="1"/>
  <c r="G462" i="1"/>
  <c r="H462" i="1"/>
  <c r="I462" i="1"/>
  <c r="A463" i="1"/>
  <c r="B463" i="1"/>
  <c r="C463" i="1"/>
  <c r="D463" i="1"/>
  <c r="E463" i="1"/>
  <c r="F463" i="1"/>
  <c r="G463" i="1"/>
  <c r="H463" i="1"/>
  <c r="I463" i="1"/>
  <c r="A464" i="1"/>
  <c r="B464" i="1"/>
  <c r="C464" i="1"/>
  <c r="D464" i="1"/>
  <c r="E464" i="1"/>
  <c r="F464" i="1"/>
  <c r="G464" i="1"/>
  <c r="H464" i="1"/>
  <c r="I464" i="1"/>
  <c r="A465" i="1"/>
  <c r="B465" i="1"/>
  <c r="C465" i="1"/>
  <c r="D465" i="1"/>
  <c r="E465" i="1"/>
  <c r="F465" i="1"/>
  <c r="G465" i="1"/>
  <c r="H465" i="1"/>
  <c r="I465" i="1"/>
  <c r="A466" i="1"/>
  <c r="B466" i="1"/>
  <c r="C466" i="1"/>
  <c r="D466" i="1"/>
  <c r="E466" i="1"/>
  <c r="F466" i="1"/>
  <c r="G466" i="1"/>
  <c r="H466" i="1"/>
  <c r="I466" i="1"/>
  <c r="A467" i="1"/>
  <c r="B467" i="1"/>
  <c r="C467" i="1"/>
  <c r="D467" i="1"/>
  <c r="E467" i="1"/>
  <c r="F467" i="1"/>
  <c r="G467" i="1"/>
  <c r="H467" i="1"/>
  <c r="I467" i="1"/>
  <c r="A468" i="1"/>
  <c r="B468" i="1"/>
  <c r="C468" i="1"/>
  <c r="D468" i="1"/>
  <c r="E468" i="1"/>
  <c r="F468" i="1"/>
  <c r="G468" i="1"/>
  <c r="H468" i="1"/>
  <c r="I468" i="1"/>
  <c r="A469" i="1"/>
  <c r="B469" i="1"/>
  <c r="C469" i="1"/>
  <c r="D469" i="1"/>
  <c r="E469" i="1"/>
  <c r="F469" i="1"/>
  <c r="G469" i="1"/>
  <c r="H469" i="1"/>
  <c r="I469" i="1"/>
  <c r="A470" i="1"/>
  <c r="B470" i="1"/>
  <c r="C470" i="1"/>
  <c r="D470" i="1"/>
  <c r="E470" i="1"/>
  <c r="F470" i="1"/>
  <c r="G470" i="1"/>
  <c r="H470" i="1"/>
  <c r="I470" i="1"/>
  <c r="A471" i="1"/>
  <c r="B471" i="1"/>
  <c r="C471" i="1"/>
  <c r="D471" i="1"/>
  <c r="E471" i="1"/>
  <c r="F471" i="1"/>
  <c r="G471" i="1"/>
  <c r="H471" i="1"/>
  <c r="I471" i="1"/>
  <c r="A472" i="1"/>
  <c r="B472" i="1"/>
  <c r="C472" i="1"/>
  <c r="D472" i="1"/>
  <c r="E472" i="1"/>
  <c r="F472" i="1"/>
  <c r="G472" i="1"/>
  <c r="H472" i="1"/>
  <c r="I472" i="1"/>
  <c r="A473" i="1"/>
  <c r="B473" i="1"/>
  <c r="C473" i="1"/>
  <c r="D473" i="1"/>
  <c r="E473" i="1"/>
  <c r="F473" i="1"/>
  <c r="G473" i="1"/>
  <c r="H473" i="1"/>
  <c r="I473" i="1"/>
  <c r="A474" i="1"/>
  <c r="B474" i="1"/>
  <c r="C474" i="1"/>
  <c r="D474" i="1"/>
  <c r="E474" i="1"/>
  <c r="F474" i="1"/>
  <c r="G474" i="1"/>
  <c r="H474" i="1"/>
  <c r="I474" i="1"/>
  <c r="A475" i="1"/>
  <c r="B475" i="1"/>
  <c r="C475" i="1"/>
  <c r="D475" i="1"/>
  <c r="E475" i="1"/>
  <c r="F475" i="1"/>
  <c r="G475" i="1"/>
  <c r="H475" i="1"/>
  <c r="I475" i="1"/>
  <c r="A476" i="1"/>
  <c r="B476" i="1"/>
  <c r="C476" i="1"/>
  <c r="D476" i="1"/>
  <c r="E476" i="1"/>
  <c r="F476" i="1"/>
  <c r="G476" i="1"/>
  <c r="H476" i="1"/>
  <c r="I476" i="1"/>
  <c r="A477" i="1"/>
  <c r="B477" i="1"/>
  <c r="C477" i="1"/>
  <c r="D477" i="1"/>
  <c r="E477" i="1"/>
  <c r="F477" i="1"/>
  <c r="G477" i="1"/>
  <c r="H477" i="1"/>
  <c r="I477" i="1"/>
  <c r="A478" i="1"/>
  <c r="B478" i="1"/>
  <c r="C478" i="1"/>
  <c r="D478" i="1"/>
  <c r="E478" i="1"/>
  <c r="F478" i="1"/>
  <c r="G478" i="1"/>
  <c r="H478" i="1"/>
  <c r="I478" i="1"/>
  <c r="A479" i="1"/>
  <c r="B479" i="1"/>
  <c r="C479" i="1"/>
  <c r="D479" i="1"/>
  <c r="E479" i="1"/>
  <c r="F479" i="1"/>
  <c r="G479" i="1"/>
  <c r="H479" i="1"/>
  <c r="I479" i="1"/>
  <c r="A480" i="1"/>
  <c r="B480" i="1"/>
  <c r="C480" i="1"/>
  <c r="D480" i="1"/>
  <c r="E480" i="1"/>
  <c r="F480" i="1"/>
  <c r="G480" i="1"/>
  <c r="H480" i="1"/>
  <c r="I480" i="1"/>
  <c r="A481" i="1"/>
  <c r="B481" i="1"/>
  <c r="C481" i="1"/>
  <c r="D481" i="1"/>
  <c r="E481" i="1"/>
  <c r="F481" i="1"/>
  <c r="G481" i="1"/>
  <c r="H481" i="1"/>
  <c r="I481" i="1"/>
  <c r="A482" i="1"/>
  <c r="B482" i="1"/>
  <c r="C482" i="1"/>
  <c r="D482" i="1"/>
  <c r="E482" i="1"/>
  <c r="F482" i="1"/>
  <c r="G482" i="1"/>
  <c r="H482" i="1"/>
  <c r="I482" i="1"/>
  <c r="A483" i="1"/>
  <c r="B483" i="1"/>
  <c r="C483" i="1"/>
  <c r="D483" i="1"/>
  <c r="E483" i="1"/>
  <c r="F483" i="1"/>
  <c r="G483" i="1"/>
  <c r="H483" i="1"/>
  <c r="I483" i="1"/>
  <c r="A484" i="1"/>
  <c r="B484" i="1"/>
  <c r="C484" i="1"/>
  <c r="D484" i="1"/>
  <c r="E484" i="1"/>
  <c r="F484" i="1"/>
  <c r="G484" i="1"/>
  <c r="H484" i="1"/>
  <c r="I484" i="1"/>
  <c r="A485" i="1"/>
  <c r="B485" i="1"/>
  <c r="C485" i="1"/>
  <c r="D485" i="1"/>
  <c r="E485" i="1"/>
  <c r="F485" i="1"/>
  <c r="G485" i="1"/>
  <c r="H485" i="1"/>
  <c r="I485" i="1"/>
  <c r="A486" i="1"/>
  <c r="B486" i="1"/>
  <c r="C486" i="1"/>
  <c r="D486" i="1"/>
  <c r="E486" i="1"/>
  <c r="F486" i="1"/>
  <c r="G486" i="1"/>
  <c r="H486" i="1"/>
  <c r="I486" i="1"/>
  <c r="A487" i="1"/>
  <c r="B487" i="1"/>
  <c r="C487" i="1"/>
  <c r="D487" i="1"/>
  <c r="E487" i="1"/>
  <c r="F487" i="1"/>
  <c r="G487" i="1"/>
  <c r="H487" i="1"/>
  <c r="I487" i="1"/>
  <c r="A488" i="1"/>
  <c r="B488" i="1"/>
  <c r="C488" i="1"/>
  <c r="D488" i="1"/>
  <c r="E488" i="1"/>
  <c r="F488" i="1"/>
  <c r="G488" i="1"/>
  <c r="H488" i="1"/>
  <c r="I488" i="1"/>
  <c r="A489" i="1"/>
  <c r="B489" i="1"/>
  <c r="C489" i="1"/>
  <c r="D489" i="1"/>
  <c r="E489" i="1"/>
  <c r="F489" i="1"/>
  <c r="G489" i="1"/>
  <c r="H489" i="1"/>
  <c r="I489" i="1"/>
  <c r="A490" i="1"/>
  <c r="B490" i="1"/>
  <c r="C490" i="1"/>
  <c r="D490" i="1"/>
  <c r="E490" i="1"/>
  <c r="F490" i="1"/>
  <c r="G490" i="1"/>
  <c r="H490" i="1"/>
  <c r="I490" i="1"/>
  <c r="A491" i="1"/>
  <c r="B491" i="1"/>
  <c r="C491" i="1"/>
  <c r="D491" i="1"/>
  <c r="E491" i="1"/>
  <c r="F491" i="1"/>
  <c r="G491" i="1"/>
  <c r="H491" i="1"/>
  <c r="I491" i="1"/>
  <c r="A492" i="1"/>
  <c r="B492" i="1"/>
  <c r="C492" i="1"/>
  <c r="D492" i="1"/>
  <c r="E492" i="1"/>
  <c r="F492" i="1"/>
  <c r="G492" i="1"/>
  <c r="H492" i="1"/>
  <c r="I492" i="1"/>
  <c r="A493" i="1"/>
  <c r="B493" i="1"/>
  <c r="C493" i="1"/>
  <c r="D493" i="1"/>
  <c r="E493" i="1"/>
  <c r="F493" i="1"/>
  <c r="G493" i="1"/>
  <c r="H493" i="1"/>
  <c r="I493" i="1"/>
  <c r="A494" i="1"/>
  <c r="B494" i="1"/>
  <c r="C494" i="1"/>
  <c r="D494" i="1"/>
  <c r="E494" i="1"/>
  <c r="F494" i="1"/>
  <c r="G494" i="1"/>
  <c r="H494" i="1"/>
  <c r="I494" i="1"/>
  <c r="A495" i="1"/>
  <c r="B495" i="1"/>
  <c r="C495" i="1"/>
  <c r="D495" i="1"/>
  <c r="E495" i="1"/>
  <c r="F495" i="1"/>
  <c r="G495" i="1"/>
  <c r="H495" i="1"/>
  <c r="I495" i="1"/>
  <c r="A496" i="1"/>
  <c r="B496" i="1"/>
  <c r="C496" i="1"/>
  <c r="D496" i="1"/>
  <c r="E496" i="1"/>
  <c r="F496" i="1"/>
  <c r="G496" i="1"/>
  <c r="H496" i="1"/>
  <c r="I496" i="1"/>
  <c r="A497" i="1"/>
  <c r="B497" i="1"/>
  <c r="C497" i="1"/>
  <c r="D497" i="1"/>
  <c r="E497" i="1"/>
  <c r="F497" i="1"/>
  <c r="G497" i="1"/>
  <c r="H497" i="1"/>
  <c r="I497" i="1"/>
  <c r="A498" i="1"/>
  <c r="B498" i="1"/>
  <c r="C498" i="1"/>
  <c r="D498" i="1"/>
  <c r="E498" i="1"/>
  <c r="F498" i="1"/>
  <c r="G498" i="1"/>
  <c r="H498" i="1"/>
  <c r="I498" i="1"/>
  <c r="A499" i="1"/>
  <c r="B499" i="1"/>
  <c r="C499" i="1"/>
  <c r="D499" i="1"/>
  <c r="E499" i="1"/>
  <c r="F499" i="1"/>
  <c r="G499" i="1"/>
  <c r="H499" i="1"/>
  <c r="I499" i="1"/>
  <c r="A500" i="1"/>
  <c r="B500" i="1"/>
  <c r="C500" i="1"/>
  <c r="D500" i="1"/>
  <c r="E500" i="1"/>
  <c r="F500" i="1"/>
  <c r="G500" i="1"/>
  <c r="H500" i="1"/>
  <c r="I500" i="1"/>
  <c r="A501" i="1"/>
  <c r="B501" i="1"/>
  <c r="C501" i="1"/>
  <c r="D501" i="1"/>
  <c r="E501" i="1"/>
  <c r="F501" i="1"/>
  <c r="G501" i="1"/>
  <c r="H501" i="1"/>
  <c r="I501" i="1"/>
  <c r="A502" i="1"/>
  <c r="B502" i="1"/>
  <c r="C502" i="1"/>
  <c r="D502" i="1"/>
  <c r="E502" i="1"/>
  <c r="F502" i="1"/>
  <c r="G502" i="1"/>
  <c r="H502" i="1"/>
  <c r="I502" i="1"/>
  <c r="A503" i="1"/>
  <c r="B503" i="1"/>
  <c r="C503" i="1"/>
  <c r="D503" i="1"/>
  <c r="E503" i="1"/>
  <c r="F503" i="1"/>
  <c r="G503" i="1"/>
  <c r="H503" i="1"/>
  <c r="I503" i="1"/>
  <c r="A504" i="1"/>
  <c r="B504" i="1"/>
  <c r="C504" i="1"/>
  <c r="D504" i="1"/>
  <c r="E504" i="1"/>
  <c r="F504" i="1"/>
  <c r="G504" i="1"/>
  <c r="H504" i="1"/>
  <c r="I504" i="1"/>
  <c r="A505" i="1"/>
  <c r="B505" i="1"/>
  <c r="C505" i="1"/>
  <c r="D505" i="1"/>
  <c r="E505" i="1"/>
  <c r="F505" i="1"/>
  <c r="G505" i="1"/>
  <c r="H505" i="1"/>
  <c r="I505" i="1"/>
  <c r="A506" i="1"/>
  <c r="B506" i="1"/>
  <c r="C506" i="1"/>
  <c r="D506" i="1"/>
  <c r="E506" i="1"/>
  <c r="F506" i="1"/>
  <c r="G506" i="1"/>
  <c r="H506" i="1"/>
  <c r="I506" i="1"/>
  <c r="A507" i="1"/>
  <c r="B507" i="1"/>
  <c r="C507" i="1"/>
  <c r="D507" i="1"/>
  <c r="E507" i="1"/>
  <c r="F507" i="1"/>
  <c r="G507" i="1"/>
  <c r="H507" i="1"/>
  <c r="I507" i="1"/>
  <c r="A508" i="1"/>
  <c r="B508" i="1"/>
  <c r="C508" i="1"/>
  <c r="D508" i="1"/>
  <c r="E508" i="1"/>
  <c r="F508" i="1"/>
  <c r="G508" i="1"/>
  <c r="H508" i="1"/>
  <c r="I508" i="1"/>
  <c r="A509" i="1"/>
  <c r="B509" i="1"/>
  <c r="C509" i="1"/>
  <c r="D509" i="1"/>
  <c r="E509" i="1"/>
  <c r="F509" i="1"/>
  <c r="G509" i="1"/>
  <c r="H509" i="1"/>
  <c r="I509" i="1"/>
  <c r="A510" i="1"/>
  <c r="B510" i="1"/>
  <c r="C510" i="1"/>
  <c r="D510" i="1"/>
  <c r="E510" i="1"/>
  <c r="F510" i="1"/>
  <c r="G510" i="1"/>
  <c r="H510" i="1"/>
  <c r="I510" i="1"/>
  <c r="A511" i="1"/>
  <c r="B511" i="1"/>
  <c r="C511" i="1"/>
  <c r="D511" i="1"/>
  <c r="E511" i="1"/>
  <c r="F511" i="1"/>
  <c r="G511" i="1"/>
  <c r="H511" i="1"/>
  <c r="I511" i="1"/>
  <c r="A512" i="1"/>
  <c r="B512" i="1"/>
  <c r="C512" i="1"/>
  <c r="D512" i="1"/>
  <c r="E512" i="1"/>
  <c r="F512" i="1"/>
  <c r="G512" i="1"/>
  <c r="H512" i="1"/>
  <c r="I512" i="1"/>
  <c r="A513" i="1"/>
  <c r="B513" i="1"/>
  <c r="C513" i="1"/>
  <c r="D513" i="1"/>
  <c r="E513" i="1"/>
  <c r="F513" i="1"/>
  <c r="G513" i="1"/>
  <c r="H513" i="1"/>
  <c r="I513" i="1"/>
  <c r="A514" i="1"/>
  <c r="B514" i="1"/>
  <c r="C514" i="1"/>
  <c r="D514" i="1"/>
  <c r="E514" i="1"/>
  <c r="F514" i="1"/>
  <c r="G514" i="1"/>
  <c r="H514" i="1"/>
  <c r="I514" i="1"/>
  <c r="A515" i="1"/>
  <c r="B515" i="1"/>
  <c r="C515" i="1"/>
  <c r="D515" i="1"/>
  <c r="E515" i="1"/>
  <c r="F515" i="1"/>
  <c r="G515" i="1"/>
  <c r="H515" i="1"/>
  <c r="I515" i="1"/>
  <c r="A516" i="1"/>
  <c r="B516" i="1"/>
  <c r="C516" i="1"/>
  <c r="D516" i="1"/>
  <c r="E516" i="1"/>
  <c r="F516" i="1"/>
  <c r="G516" i="1"/>
  <c r="H516" i="1"/>
  <c r="I516" i="1"/>
  <c r="A517" i="1"/>
  <c r="B517" i="1"/>
  <c r="C517" i="1"/>
  <c r="D517" i="1"/>
  <c r="E517" i="1"/>
  <c r="F517" i="1"/>
  <c r="G517" i="1"/>
  <c r="H517" i="1"/>
  <c r="I517" i="1"/>
  <c r="A518" i="1"/>
  <c r="B518" i="1"/>
  <c r="C518" i="1"/>
  <c r="D518" i="1"/>
  <c r="E518" i="1"/>
  <c r="F518" i="1"/>
  <c r="G518" i="1"/>
  <c r="H518" i="1"/>
  <c r="I518" i="1"/>
  <c r="A519" i="1"/>
  <c r="B519" i="1"/>
  <c r="C519" i="1"/>
  <c r="D519" i="1"/>
  <c r="E519" i="1"/>
  <c r="F519" i="1"/>
  <c r="G519" i="1"/>
  <c r="H519" i="1"/>
  <c r="I519" i="1"/>
  <c r="A520" i="1"/>
  <c r="B520" i="1"/>
  <c r="C520" i="1"/>
  <c r="D520" i="1"/>
  <c r="E520" i="1"/>
  <c r="F520" i="1"/>
  <c r="G520" i="1"/>
  <c r="H520" i="1"/>
  <c r="I520" i="1"/>
  <c r="A521" i="1"/>
  <c r="B521" i="1"/>
  <c r="C521" i="1"/>
  <c r="D521" i="1"/>
  <c r="E521" i="1"/>
  <c r="F521" i="1"/>
  <c r="G521" i="1"/>
  <c r="H521" i="1"/>
  <c r="I521" i="1"/>
  <c r="A522" i="1"/>
  <c r="B522" i="1"/>
  <c r="C522" i="1"/>
  <c r="D522" i="1"/>
  <c r="E522" i="1"/>
  <c r="F522" i="1"/>
  <c r="G522" i="1"/>
  <c r="H522" i="1"/>
  <c r="I522" i="1"/>
  <c r="A523" i="1"/>
  <c r="B523" i="1"/>
  <c r="C523" i="1"/>
  <c r="D523" i="1"/>
  <c r="E523" i="1"/>
  <c r="F523" i="1"/>
  <c r="G523" i="1"/>
  <c r="H523" i="1"/>
  <c r="I523" i="1"/>
  <c r="A524" i="1"/>
  <c r="B524" i="1"/>
  <c r="C524" i="1"/>
  <c r="D524" i="1"/>
  <c r="E524" i="1"/>
  <c r="F524" i="1"/>
  <c r="G524" i="1"/>
  <c r="H524" i="1"/>
  <c r="I524" i="1"/>
  <c r="A525" i="1"/>
  <c r="B525" i="1"/>
  <c r="C525" i="1"/>
  <c r="D525" i="1"/>
  <c r="E525" i="1"/>
  <c r="F525" i="1"/>
  <c r="G525" i="1"/>
  <c r="H525" i="1"/>
  <c r="I525" i="1"/>
  <c r="A526" i="1"/>
  <c r="B526" i="1"/>
  <c r="C526" i="1"/>
  <c r="D526" i="1"/>
  <c r="E526" i="1"/>
  <c r="F526" i="1"/>
  <c r="G526" i="1"/>
  <c r="H526" i="1"/>
  <c r="I526" i="1"/>
  <c r="A527" i="1"/>
  <c r="B527" i="1"/>
  <c r="C527" i="1"/>
  <c r="D527" i="1"/>
  <c r="E527" i="1"/>
  <c r="F527" i="1"/>
  <c r="G527" i="1"/>
  <c r="H527" i="1"/>
  <c r="I527" i="1"/>
  <c r="A528" i="1"/>
  <c r="B528" i="1"/>
  <c r="C528" i="1"/>
  <c r="D528" i="1"/>
  <c r="E528" i="1"/>
  <c r="F528" i="1"/>
  <c r="G528" i="1"/>
  <c r="H528" i="1"/>
  <c r="I528" i="1"/>
  <c r="A529" i="1"/>
  <c r="B529" i="1"/>
  <c r="C529" i="1"/>
  <c r="D529" i="1"/>
  <c r="E529" i="1"/>
  <c r="F529" i="1"/>
  <c r="G529" i="1"/>
  <c r="H529" i="1"/>
  <c r="I529" i="1"/>
  <c r="A530" i="1"/>
  <c r="B530" i="1"/>
  <c r="C530" i="1"/>
  <c r="D530" i="1"/>
  <c r="E530" i="1"/>
  <c r="F530" i="1"/>
  <c r="G530" i="1"/>
  <c r="H530" i="1"/>
  <c r="I530" i="1"/>
  <c r="A531" i="1"/>
  <c r="B531" i="1"/>
  <c r="C531" i="1"/>
  <c r="D531" i="1"/>
  <c r="E531" i="1"/>
  <c r="F531" i="1"/>
  <c r="G531" i="1"/>
  <c r="H531" i="1"/>
  <c r="I531" i="1"/>
  <c r="A532" i="1"/>
  <c r="B532" i="1"/>
  <c r="C532" i="1"/>
  <c r="D532" i="1"/>
  <c r="E532" i="1"/>
  <c r="F532" i="1"/>
  <c r="G532" i="1"/>
  <c r="H532" i="1"/>
  <c r="I532" i="1"/>
  <c r="A533" i="1"/>
  <c r="B533" i="1"/>
  <c r="C533" i="1"/>
  <c r="D533" i="1"/>
  <c r="E533" i="1"/>
  <c r="F533" i="1"/>
  <c r="G533" i="1"/>
  <c r="H533" i="1"/>
  <c r="I533" i="1"/>
  <c r="A534" i="1"/>
  <c r="B534" i="1"/>
  <c r="C534" i="1"/>
  <c r="D534" i="1"/>
  <c r="E534" i="1"/>
  <c r="F534" i="1"/>
  <c r="G534" i="1"/>
  <c r="H534" i="1"/>
  <c r="I534" i="1"/>
  <c r="A535" i="1"/>
  <c r="B535" i="1"/>
  <c r="C535" i="1"/>
  <c r="D535" i="1"/>
  <c r="E535" i="1"/>
  <c r="F535" i="1"/>
  <c r="G535" i="1"/>
  <c r="H535" i="1"/>
  <c r="I535" i="1"/>
  <c r="A536" i="1"/>
  <c r="B536" i="1"/>
  <c r="C536" i="1"/>
  <c r="D536" i="1"/>
  <c r="E536" i="1"/>
  <c r="F536" i="1"/>
  <c r="G536" i="1"/>
  <c r="H536" i="1"/>
  <c r="I536" i="1"/>
  <c r="A537" i="1"/>
  <c r="B537" i="1"/>
  <c r="C537" i="1"/>
  <c r="D537" i="1"/>
  <c r="E537" i="1"/>
  <c r="F537" i="1"/>
  <c r="G537" i="1"/>
  <c r="H537" i="1"/>
  <c r="I537" i="1"/>
  <c r="A538" i="1"/>
  <c r="B538" i="1"/>
  <c r="C538" i="1"/>
  <c r="D538" i="1"/>
  <c r="E538" i="1"/>
  <c r="F538" i="1"/>
  <c r="G538" i="1"/>
  <c r="H538" i="1"/>
  <c r="I538" i="1"/>
  <c r="A539" i="1"/>
  <c r="B539" i="1"/>
  <c r="C539" i="1"/>
  <c r="D539" i="1"/>
  <c r="E539" i="1"/>
  <c r="F539" i="1"/>
  <c r="G539" i="1"/>
  <c r="H539" i="1"/>
  <c r="I539" i="1"/>
  <c r="A540" i="1"/>
  <c r="B540" i="1"/>
  <c r="C540" i="1"/>
  <c r="D540" i="1"/>
  <c r="E540" i="1"/>
  <c r="F540" i="1"/>
  <c r="G540" i="1"/>
  <c r="H540" i="1"/>
  <c r="I540" i="1"/>
  <c r="A541" i="1"/>
  <c r="B541" i="1"/>
  <c r="C541" i="1"/>
  <c r="D541" i="1"/>
  <c r="E541" i="1"/>
  <c r="F541" i="1"/>
  <c r="G541" i="1"/>
  <c r="H541" i="1"/>
  <c r="I541" i="1"/>
  <c r="A542" i="1"/>
  <c r="B542" i="1"/>
  <c r="C542" i="1"/>
  <c r="D542" i="1"/>
  <c r="E542" i="1"/>
  <c r="F542" i="1"/>
  <c r="G542" i="1"/>
  <c r="H542" i="1"/>
  <c r="I542" i="1"/>
  <c r="A543" i="1"/>
  <c r="B543" i="1"/>
  <c r="C543" i="1"/>
  <c r="D543" i="1"/>
  <c r="E543" i="1"/>
  <c r="F543" i="1"/>
  <c r="G543" i="1"/>
  <c r="H543" i="1"/>
  <c r="I543" i="1"/>
  <c r="A544" i="1"/>
  <c r="B544" i="1"/>
  <c r="C544" i="1"/>
  <c r="D544" i="1"/>
  <c r="E544" i="1"/>
  <c r="F544" i="1"/>
  <c r="G544" i="1"/>
  <c r="H544" i="1"/>
  <c r="I544" i="1"/>
  <c r="A545" i="1"/>
  <c r="B545" i="1"/>
  <c r="C545" i="1"/>
  <c r="D545" i="1"/>
  <c r="E545" i="1"/>
  <c r="F545" i="1"/>
  <c r="G545" i="1"/>
  <c r="H545" i="1"/>
  <c r="I545" i="1"/>
  <c r="A546" i="1"/>
  <c r="B546" i="1"/>
  <c r="C546" i="1"/>
  <c r="D546" i="1"/>
  <c r="E546" i="1"/>
  <c r="F546" i="1"/>
  <c r="G546" i="1"/>
  <c r="H546" i="1"/>
  <c r="I546" i="1"/>
  <c r="A547" i="1"/>
  <c r="B547" i="1"/>
  <c r="C547" i="1"/>
  <c r="D547" i="1"/>
  <c r="E547" i="1"/>
  <c r="F547" i="1"/>
  <c r="G547" i="1"/>
  <c r="H547" i="1"/>
  <c r="I547" i="1"/>
  <c r="A548" i="1"/>
  <c r="B548" i="1"/>
  <c r="C548" i="1"/>
  <c r="D548" i="1"/>
  <c r="E548" i="1"/>
  <c r="F548" i="1"/>
  <c r="G548" i="1"/>
  <c r="H548" i="1"/>
  <c r="I548" i="1"/>
  <c r="A549" i="1"/>
  <c r="B549" i="1"/>
  <c r="C549" i="1"/>
  <c r="D549" i="1"/>
  <c r="E549" i="1"/>
  <c r="F549" i="1"/>
  <c r="G549" i="1"/>
  <c r="H549" i="1"/>
  <c r="I549" i="1"/>
  <c r="A550" i="1"/>
  <c r="B550" i="1"/>
  <c r="C550" i="1"/>
  <c r="D550" i="1"/>
  <c r="E550" i="1"/>
  <c r="F550" i="1"/>
  <c r="G550" i="1"/>
  <c r="H550" i="1"/>
  <c r="I550" i="1"/>
  <c r="A551" i="1"/>
  <c r="B551" i="1"/>
  <c r="C551" i="1"/>
  <c r="D551" i="1"/>
  <c r="E551" i="1"/>
  <c r="F551" i="1"/>
  <c r="G551" i="1"/>
  <c r="H551" i="1"/>
  <c r="I551" i="1"/>
  <c r="A552" i="1"/>
  <c r="B552" i="1"/>
  <c r="C552" i="1"/>
  <c r="D552" i="1"/>
  <c r="E552" i="1"/>
  <c r="F552" i="1"/>
  <c r="G552" i="1"/>
  <c r="H552" i="1"/>
  <c r="I552" i="1"/>
  <c r="A553" i="1"/>
  <c r="B553" i="1"/>
  <c r="C553" i="1"/>
  <c r="D553" i="1"/>
  <c r="E553" i="1"/>
  <c r="F553" i="1"/>
  <c r="G553" i="1"/>
  <c r="H553" i="1"/>
  <c r="I553" i="1"/>
  <c r="A554" i="1"/>
  <c r="B554" i="1"/>
  <c r="C554" i="1"/>
  <c r="D554" i="1"/>
  <c r="E554" i="1"/>
  <c r="F554" i="1"/>
  <c r="G554" i="1"/>
  <c r="H554" i="1"/>
  <c r="I554" i="1"/>
  <c r="A555" i="1"/>
  <c r="B555" i="1"/>
  <c r="C555" i="1"/>
  <c r="D555" i="1"/>
  <c r="E555" i="1"/>
  <c r="F555" i="1"/>
  <c r="G555" i="1"/>
  <c r="H555" i="1"/>
  <c r="I555" i="1"/>
  <c r="A556" i="1"/>
  <c r="B556" i="1"/>
  <c r="C556" i="1"/>
  <c r="D556" i="1"/>
  <c r="E556" i="1"/>
  <c r="F556" i="1"/>
  <c r="G556" i="1"/>
  <c r="H556" i="1"/>
  <c r="I556" i="1"/>
  <c r="A557" i="1"/>
  <c r="B557" i="1"/>
  <c r="C557" i="1"/>
  <c r="D557" i="1"/>
  <c r="E557" i="1"/>
  <c r="F557" i="1"/>
  <c r="G557" i="1"/>
  <c r="H557" i="1"/>
  <c r="I557" i="1"/>
  <c r="A558" i="1"/>
  <c r="B558" i="1"/>
  <c r="C558" i="1"/>
  <c r="D558" i="1"/>
  <c r="E558" i="1"/>
  <c r="F558" i="1"/>
  <c r="G558" i="1"/>
  <c r="H558" i="1"/>
  <c r="I558" i="1"/>
  <c r="A559" i="1"/>
  <c r="B559" i="1"/>
  <c r="C559" i="1"/>
  <c r="D559" i="1"/>
  <c r="E559" i="1"/>
  <c r="F559" i="1"/>
  <c r="G559" i="1"/>
  <c r="H559" i="1"/>
  <c r="I559" i="1"/>
  <c r="A560" i="1"/>
  <c r="B560" i="1"/>
  <c r="C560" i="1"/>
  <c r="D560" i="1"/>
  <c r="E560" i="1"/>
  <c r="F560" i="1"/>
  <c r="G560" i="1"/>
  <c r="H560" i="1"/>
  <c r="I560" i="1"/>
  <c r="A561" i="1"/>
  <c r="B561" i="1"/>
  <c r="C561" i="1"/>
  <c r="D561" i="1"/>
  <c r="E561" i="1"/>
  <c r="F561" i="1"/>
  <c r="G561" i="1"/>
  <c r="H561" i="1"/>
  <c r="I561" i="1"/>
  <c r="A562" i="1"/>
  <c r="B562" i="1"/>
  <c r="C562" i="1"/>
  <c r="D562" i="1"/>
  <c r="E562" i="1"/>
  <c r="F562" i="1"/>
  <c r="G562" i="1"/>
  <c r="H562" i="1"/>
  <c r="I562" i="1"/>
  <c r="A563" i="1"/>
  <c r="B563" i="1"/>
  <c r="C563" i="1"/>
  <c r="D563" i="1"/>
  <c r="E563" i="1"/>
  <c r="F563" i="1"/>
  <c r="G563" i="1"/>
  <c r="H563" i="1"/>
  <c r="I563" i="1"/>
  <c r="A564" i="1"/>
  <c r="B564" i="1"/>
  <c r="C564" i="1"/>
  <c r="D564" i="1"/>
  <c r="E564" i="1"/>
  <c r="F564" i="1"/>
  <c r="G564" i="1"/>
  <c r="H564" i="1"/>
  <c r="I564" i="1"/>
  <c r="A565" i="1"/>
  <c r="B565" i="1"/>
  <c r="C565" i="1"/>
  <c r="D565" i="1"/>
  <c r="E565" i="1"/>
  <c r="F565" i="1"/>
  <c r="G565" i="1"/>
  <c r="H565" i="1"/>
  <c r="I565" i="1"/>
  <c r="A566" i="1"/>
  <c r="B566" i="1"/>
  <c r="C566" i="1"/>
  <c r="D566" i="1"/>
  <c r="E566" i="1"/>
  <c r="F566" i="1"/>
  <c r="G566" i="1"/>
  <c r="H566" i="1"/>
  <c r="I566" i="1"/>
  <c r="A567" i="1"/>
  <c r="B567" i="1"/>
  <c r="C567" i="1"/>
  <c r="D567" i="1"/>
  <c r="E567" i="1"/>
  <c r="F567" i="1"/>
  <c r="G567" i="1"/>
  <c r="H567" i="1"/>
  <c r="I567" i="1"/>
  <c r="A568" i="1"/>
  <c r="B568" i="1"/>
  <c r="C568" i="1"/>
  <c r="D568" i="1"/>
  <c r="E568" i="1"/>
  <c r="F568" i="1"/>
  <c r="G568" i="1"/>
  <c r="H568" i="1"/>
  <c r="I568" i="1"/>
  <c r="A569" i="1"/>
  <c r="B569" i="1"/>
  <c r="C569" i="1"/>
  <c r="D569" i="1"/>
  <c r="E569" i="1"/>
  <c r="F569" i="1"/>
  <c r="G569" i="1"/>
  <c r="H569" i="1"/>
  <c r="I569" i="1"/>
  <c r="A570" i="1"/>
  <c r="B570" i="1"/>
  <c r="C570" i="1"/>
  <c r="D570" i="1"/>
  <c r="E570" i="1"/>
  <c r="F570" i="1"/>
  <c r="G570" i="1"/>
  <c r="H570" i="1"/>
  <c r="I570" i="1"/>
  <c r="A571" i="1"/>
  <c r="B571" i="1"/>
  <c r="C571" i="1"/>
  <c r="D571" i="1"/>
  <c r="E571" i="1"/>
  <c r="F571" i="1"/>
  <c r="G571" i="1"/>
  <c r="H571" i="1"/>
  <c r="I571" i="1"/>
  <c r="A572" i="1"/>
  <c r="B572" i="1"/>
  <c r="C572" i="1"/>
  <c r="D572" i="1"/>
  <c r="E572" i="1"/>
  <c r="F572" i="1"/>
  <c r="G572" i="1"/>
  <c r="H572" i="1"/>
  <c r="I572" i="1"/>
  <c r="A573" i="1"/>
  <c r="B573" i="1"/>
  <c r="C573" i="1"/>
  <c r="D573" i="1"/>
  <c r="E573" i="1"/>
  <c r="F573" i="1"/>
  <c r="G573" i="1"/>
  <c r="H573" i="1"/>
  <c r="I573" i="1"/>
  <c r="A574" i="1"/>
  <c r="B574" i="1"/>
  <c r="C574" i="1"/>
  <c r="D574" i="1"/>
  <c r="E574" i="1"/>
  <c r="F574" i="1"/>
  <c r="G574" i="1"/>
  <c r="H574" i="1"/>
  <c r="I574" i="1"/>
  <c r="A575" i="1"/>
  <c r="B575" i="1"/>
  <c r="C575" i="1"/>
  <c r="D575" i="1"/>
  <c r="E575" i="1"/>
  <c r="F575" i="1"/>
  <c r="G575" i="1"/>
  <c r="H575" i="1"/>
  <c r="I575" i="1"/>
  <c r="A576" i="1"/>
  <c r="B576" i="1"/>
  <c r="C576" i="1"/>
  <c r="D576" i="1"/>
  <c r="E576" i="1"/>
  <c r="F576" i="1"/>
  <c r="G576" i="1"/>
  <c r="H576" i="1"/>
  <c r="I576" i="1"/>
  <c r="A577" i="1"/>
  <c r="B577" i="1"/>
  <c r="C577" i="1"/>
  <c r="D577" i="1"/>
  <c r="E577" i="1"/>
  <c r="F577" i="1"/>
  <c r="G577" i="1"/>
  <c r="H577" i="1"/>
  <c r="I577" i="1"/>
  <c r="A578" i="1"/>
  <c r="B578" i="1"/>
  <c r="C578" i="1"/>
  <c r="D578" i="1"/>
  <c r="E578" i="1"/>
  <c r="F578" i="1"/>
  <c r="G578" i="1"/>
  <c r="H578" i="1"/>
  <c r="I578" i="1"/>
  <c r="A579" i="1"/>
  <c r="B579" i="1"/>
  <c r="C579" i="1"/>
  <c r="D579" i="1"/>
  <c r="E579" i="1"/>
  <c r="F579" i="1"/>
  <c r="G579" i="1"/>
  <c r="H579" i="1"/>
  <c r="I579" i="1"/>
  <c r="A580" i="1"/>
  <c r="B580" i="1"/>
  <c r="C580" i="1"/>
  <c r="D580" i="1"/>
  <c r="E580" i="1"/>
  <c r="F580" i="1"/>
  <c r="G580" i="1"/>
  <c r="H580" i="1"/>
  <c r="I580" i="1"/>
  <c r="A581" i="1"/>
  <c r="B581" i="1"/>
  <c r="C581" i="1"/>
  <c r="D581" i="1"/>
  <c r="E581" i="1"/>
  <c r="F581" i="1"/>
  <c r="G581" i="1"/>
  <c r="H581" i="1"/>
  <c r="I581" i="1"/>
  <c r="A582" i="1"/>
  <c r="B582" i="1"/>
  <c r="C582" i="1"/>
  <c r="D582" i="1"/>
  <c r="E582" i="1"/>
  <c r="F582" i="1"/>
  <c r="G582" i="1"/>
  <c r="H582" i="1"/>
  <c r="I582" i="1"/>
  <c r="A583" i="1"/>
  <c r="B583" i="1"/>
  <c r="C583" i="1"/>
  <c r="D583" i="1"/>
  <c r="E583" i="1"/>
  <c r="F583" i="1"/>
  <c r="G583" i="1"/>
  <c r="H583" i="1"/>
  <c r="I583" i="1"/>
  <c r="A584" i="1"/>
  <c r="B584" i="1"/>
  <c r="C584" i="1"/>
  <c r="D584" i="1"/>
  <c r="E584" i="1"/>
  <c r="F584" i="1"/>
  <c r="G584" i="1"/>
  <c r="H584" i="1"/>
  <c r="I584" i="1"/>
  <c r="A585" i="1"/>
  <c r="B585" i="1"/>
  <c r="C585" i="1"/>
  <c r="D585" i="1"/>
  <c r="E585" i="1"/>
  <c r="F585" i="1"/>
  <c r="G585" i="1"/>
  <c r="H585" i="1"/>
  <c r="I585" i="1"/>
  <c r="A586" i="1"/>
  <c r="B586" i="1"/>
  <c r="C586" i="1"/>
  <c r="D586" i="1"/>
  <c r="E586" i="1"/>
  <c r="F586" i="1"/>
  <c r="G586" i="1"/>
  <c r="H586" i="1"/>
  <c r="I586" i="1"/>
  <c r="A587" i="1"/>
  <c r="B587" i="1"/>
  <c r="C587" i="1"/>
  <c r="D587" i="1"/>
  <c r="E587" i="1"/>
  <c r="F587" i="1"/>
  <c r="G587" i="1"/>
  <c r="H587" i="1"/>
  <c r="I587" i="1"/>
  <c r="A588" i="1"/>
  <c r="B588" i="1"/>
  <c r="C588" i="1"/>
  <c r="D588" i="1"/>
  <c r="E588" i="1"/>
  <c r="F588" i="1"/>
  <c r="G588" i="1"/>
  <c r="H588" i="1"/>
  <c r="I588" i="1"/>
  <c r="A589" i="1"/>
  <c r="B589" i="1"/>
  <c r="C589" i="1"/>
  <c r="D589" i="1"/>
  <c r="E589" i="1"/>
  <c r="F589" i="1"/>
  <c r="G589" i="1"/>
  <c r="H589" i="1"/>
  <c r="I589" i="1"/>
  <c r="A590" i="1"/>
  <c r="B590" i="1"/>
  <c r="C590" i="1"/>
  <c r="D590" i="1"/>
  <c r="E590" i="1"/>
  <c r="F590" i="1"/>
  <c r="G590" i="1"/>
  <c r="H590" i="1"/>
  <c r="I590" i="1"/>
  <c r="A591" i="1"/>
  <c r="B591" i="1"/>
  <c r="C591" i="1"/>
  <c r="D591" i="1"/>
  <c r="E591" i="1"/>
  <c r="F591" i="1"/>
  <c r="G591" i="1"/>
  <c r="H591" i="1"/>
  <c r="I591" i="1"/>
  <c r="A592" i="1"/>
  <c r="B592" i="1"/>
  <c r="C592" i="1"/>
  <c r="D592" i="1"/>
  <c r="E592" i="1"/>
  <c r="F592" i="1"/>
  <c r="G592" i="1"/>
  <c r="H592" i="1"/>
  <c r="I592" i="1"/>
  <c r="A593" i="1"/>
  <c r="B593" i="1"/>
  <c r="C593" i="1"/>
  <c r="D593" i="1"/>
  <c r="E593" i="1"/>
  <c r="F593" i="1"/>
  <c r="G593" i="1"/>
  <c r="H593" i="1"/>
  <c r="I593" i="1"/>
  <c r="A594" i="1"/>
  <c r="B594" i="1"/>
  <c r="C594" i="1"/>
  <c r="D594" i="1"/>
  <c r="E594" i="1"/>
  <c r="F594" i="1"/>
  <c r="G594" i="1"/>
  <c r="H594" i="1"/>
  <c r="I594" i="1"/>
  <c r="A595" i="1"/>
  <c r="B595" i="1"/>
  <c r="C595" i="1"/>
  <c r="D595" i="1"/>
  <c r="E595" i="1"/>
  <c r="F595" i="1"/>
  <c r="G595" i="1"/>
  <c r="H595" i="1"/>
  <c r="I595" i="1"/>
  <c r="A596" i="1"/>
  <c r="B596" i="1"/>
  <c r="C596" i="1"/>
  <c r="D596" i="1"/>
  <c r="E596" i="1"/>
  <c r="F596" i="1"/>
  <c r="G596" i="1"/>
  <c r="H596" i="1"/>
  <c r="I596" i="1"/>
  <c r="A597" i="1"/>
  <c r="B597" i="1"/>
  <c r="C597" i="1"/>
  <c r="D597" i="1"/>
  <c r="E597" i="1"/>
  <c r="F597" i="1"/>
  <c r="G597" i="1"/>
  <c r="H597" i="1"/>
  <c r="I597" i="1"/>
  <c r="A598" i="1"/>
  <c r="B598" i="1"/>
  <c r="C598" i="1"/>
  <c r="D598" i="1"/>
  <c r="E598" i="1"/>
  <c r="F598" i="1"/>
  <c r="G598" i="1"/>
  <c r="H598" i="1"/>
  <c r="I598" i="1"/>
  <c r="A599" i="1"/>
  <c r="B599" i="1"/>
  <c r="C599" i="1"/>
  <c r="D599" i="1"/>
  <c r="E599" i="1"/>
  <c r="F599" i="1"/>
  <c r="G599" i="1"/>
  <c r="H599" i="1"/>
  <c r="I599" i="1"/>
  <c r="A600" i="1"/>
  <c r="B600" i="1"/>
  <c r="C600" i="1"/>
  <c r="D600" i="1"/>
  <c r="E600" i="1"/>
  <c r="F600" i="1"/>
  <c r="G600" i="1"/>
  <c r="H600" i="1"/>
  <c r="I600" i="1"/>
  <c r="A601" i="1"/>
  <c r="B601" i="1"/>
  <c r="C601" i="1"/>
  <c r="D601" i="1"/>
  <c r="E601" i="1"/>
  <c r="F601" i="1"/>
  <c r="G601" i="1"/>
  <c r="H601" i="1"/>
  <c r="I601" i="1"/>
  <c r="A602" i="1"/>
  <c r="B602" i="1"/>
  <c r="C602" i="1"/>
  <c r="D602" i="1"/>
  <c r="E602" i="1"/>
  <c r="F602" i="1"/>
  <c r="G602" i="1"/>
  <c r="H602" i="1"/>
  <c r="I602" i="1"/>
  <c r="A603" i="1"/>
  <c r="B603" i="1"/>
  <c r="C603" i="1"/>
  <c r="D603" i="1"/>
  <c r="E603" i="1"/>
  <c r="F603" i="1"/>
  <c r="G603" i="1"/>
  <c r="H603" i="1"/>
  <c r="I603" i="1"/>
  <c r="A604" i="1"/>
  <c r="B604" i="1"/>
  <c r="C604" i="1"/>
  <c r="D604" i="1"/>
  <c r="E604" i="1"/>
  <c r="F604" i="1"/>
  <c r="G604" i="1"/>
  <c r="H604" i="1"/>
  <c r="I604" i="1"/>
  <c r="A605" i="1"/>
  <c r="B605" i="1"/>
  <c r="C605" i="1"/>
  <c r="D605" i="1"/>
  <c r="E605" i="1"/>
  <c r="F605" i="1"/>
  <c r="G605" i="1"/>
  <c r="H605" i="1"/>
  <c r="I605" i="1"/>
  <c r="A606" i="1"/>
  <c r="B606" i="1"/>
  <c r="C606" i="1"/>
  <c r="D606" i="1"/>
  <c r="E606" i="1"/>
  <c r="F606" i="1"/>
  <c r="G606" i="1"/>
  <c r="H606" i="1"/>
  <c r="I606" i="1"/>
  <c r="A607" i="1"/>
  <c r="B607" i="1"/>
  <c r="C607" i="1"/>
  <c r="D607" i="1"/>
  <c r="E607" i="1"/>
  <c r="F607" i="1"/>
  <c r="G607" i="1"/>
  <c r="H607" i="1"/>
  <c r="I607" i="1"/>
  <c r="A608" i="1"/>
  <c r="B608" i="1"/>
  <c r="C608" i="1"/>
  <c r="D608" i="1"/>
  <c r="E608" i="1"/>
  <c r="F608" i="1"/>
  <c r="G608" i="1"/>
  <c r="H608" i="1"/>
  <c r="I608" i="1"/>
  <c r="A609" i="1"/>
  <c r="B609" i="1"/>
  <c r="C609" i="1"/>
  <c r="D609" i="1"/>
  <c r="E609" i="1"/>
  <c r="F609" i="1"/>
  <c r="G609" i="1"/>
  <c r="H609" i="1"/>
  <c r="I609" i="1"/>
  <c r="A610" i="1"/>
  <c r="B610" i="1"/>
  <c r="C610" i="1"/>
  <c r="D610" i="1"/>
  <c r="E610" i="1"/>
  <c r="F610" i="1"/>
  <c r="G610" i="1"/>
  <c r="H610" i="1"/>
  <c r="I610" i="1"/>
  <c r="A611" i="1"/>
  <c r="B611" i="1"/>
  <c r="C611" i="1"/>
  <c r="D611" i="1"/>
  <c r="E611" i="1"/>
  <c r="F611" i="1"/>
  <c r="G611" i="1"/>
  <c r="H611" i="1"/>
  <c r="I611" i="1"/>
  <c r="A612" i="1"/>
  <c r="B612" i="1"/>
  <c r="C612" i="1"/>
  <c r="D612" i="1"/>
  <c r="E612" i="1"/>
  <c r="F612" i="1"/>
  <c r="G612" i="1"/>
  <c r="H612" i="1"/>
  <c r="I612" i="1"/>
  <c r="A613" i="1"/>
  <c r="B613" i="1"/>
  <c r="C613" i="1"/>
  <c r="D613" i="1"/>
  <c r="E613" i="1"/>
  <c r="F613" i="1"/>
  <c r="G613" i="1"/>
  <c r="H613" i="1"/>
  <c r="I613" i="1"/>
  <c r="A614" i="1"/>
  <c r="B614" i="1"/>
  <c r="C614" i="1"/>
  <c r="D614" i="1"/>
  <c r="E614" i="1"/>
  <c r="F614" i="1"/>
  <c r="G614" i="1"/>
  <c r="H614" i="1"/>
  <c r="I614" i="1"/>
  <c r="A615" i="1"/>
  <c r="B615" i="1"/>
  <c r="C615" i="1"/>
  <c r="D615" i="1"/>
  <c r="E615" i="1"/>
  <c r="F615" i="1"/>
  <c r="G615" i="1"/>
  <c r="H615" i="1"/>
  <c r="I615" i="1"/>
  <c r="A616" i="1"/>
  <c r="B616" i="1"/>
  <c r="C616" i="1"/>
  <c r="D616" i="1"/>
  <c r="E616" i="1"/>
  <c r="F616" i="1"/>
  <c r="G616" i="1"/>
  <c r="H616" i="1"/>
  <c r="I616" i="1"/>
  <c r="A617" i="1"/>
  <c r="B617" i="1"/>
  <c r="C617" i="1"/>
  <c r="D617" i="1"/>
  <c r="E617" i="1"/>
  <c r="F617" i="1"/>
  <c r="G617" i="1"/>
  <c r="H617" i="1"/>
  <c r="I617" i="1"/>
  <c r="A618" i="1"/>
  <c r="B618" i="1"/>
  <c r="C618" i="1"/>
  <c r="D618" i="1"/>
  <c r="E618" i="1"/>
  <c r="F618" i="1"/>
  <c r="G618" i="1"/>
  <c r="H618" i="1"/>
  <c r="I618" i="1"/>
  <c r="A619" i="1"/>
  <c r="B619" i="1"/>
  <c r="C619" i="1"/>
  <c r="D619" i="1"/>
  <c r="E619" i="1"/>
  <c r="F619" i="1"/>
  <c r="G619" i="1"/>
  <c r="H619" i="1"/>
  <c r="I619" i="1"/>
  <c r="A620" i="1"/>
  <c r="B620" i="1"/>
  <c r="C620" i="1"/>
  <c r="D620" i="1"/>
  <c r="E620" i="1"/>
  <c r="F620" i="1"/>
  <c r="G620" i="1"/>
  <c r="H620" i="1"/>
  <c r="I620" i="1"/>
  <c r="A621" i="1"/>
  <c r="B621" i="1"/>
  <c r="C621" i="1"/>
  <c r="D621" i="1"/>
  <c r="E621" i="1"/>
  <c r="F621" i="1"/>
  <c r="G621" i="1"/>
  <c r="H621" i="1"/>
  <c r="I621" i="1"/>
  <c r="A622" i="1"/>
  <c r="B622" i="1"/>
  <c r="C622" i="1"/>
  <c r="D622" i="1"/>
  <c r="E622" i="1"/>
  <c r="F622" i="1"/>
  <c r="G622" i="1"/>
  <c r="H622" i="1"/>
  <c r="I622" i="1"/>
  <c r="A623" i="1"/>
  <c r="B623" i="1"/>
  <c r="C623" i="1"/>
  <c r="D623" i="1"/>
  <c r="E623" i="1"/>
  <c r="F623" i="1"/>
  <c r="G623" i="1"/>
  <c r="H623" i="1"/>
  <c r="I623" i="1"/>
  <c r="A624" i="1"/>
  <c r="B624" i="1"/>
  <c r="C624" i="1"/>
  <c r="D624" i="1"/>
  <c r="E624" i="1"/>
  <c r="F624" i="1"/>
  <c r="G624" i="1"/>
  <c r="H624" i="1"/>
  <c r="I624" i="1"/>
  <c r="A625" i="1"/>
  <c r="B625" i="1"/>
  <c r="C625" i="1"/>
  <c r="D625" i="1"/>
  <c r="E625" i="1"/>
  <c r="F625" i="1"/>
  <c r="G625" i="1"/>
  <c r="H625" i="1"/>
  <c r="I625" i="1"/>
  <c r="A626" i="1"/>
  <c r="B626" i="1"/>
  <c r="C626" i="1"/>
  <c r="D626" i="1"/>
  <c r="E626" i="1"/>
  <c r="F626" i="1"/>
  <c r="G626" i="1"/>
  <c r="H626" i="1"/>
  <c r="I626" i="1"/>
  <c r="A627" i="1"/>
  <c r="B627" i="1"/>
  <c r="C627" i="1"/>
  <c r="D627" i="1"/>
  <c r="E627" i="1"/>
  <c r="F627" i="1"/>
  <c r="G627" i="1"/>
  <c r="H627" i="1"/>
  <c r="I627" i="1"/>
  <c r="A628" i="1"/>
  <c r="B628" i="1"/>
  <c r="C628" i="1"/>
  <c r="D628" i="1"/>
  <c r="E628" i="1"/>
  <c r="F628" i="1"/>
  <c r="G628" i="1"/>
  <c r="H628" i="1"/>
  <c r="I628" i="1"/>
  <c r="A629" i="1"/>
  <c r="B629" i="1"/>
  <c r="C629" i="1"/>
  <c r="D629" i="1"/>
  <c r="E629" i="1"/>
  <c r="F629" i="1"/>
  <c r="G629" i="1"/>
  <c r="H629" i="1"/>
  <c r="I629" i="1"/>
  <c r="A630" i="1"/>
  <c r="B630" i="1"/>
  <c r="C630" i="1"/>
  <c r="D630" i="1"/>
  <c r="E630" i="1"/>
  <c r="F630" i="1"/>
  <c r="G630" i="1"/>
  <c r="H630" i="1"/>
  <c r="I630" i="1"/>
  <c r="A631" i="1"/>
  <c r="B631" i="1"/>
  <c r="C631" i="1"/>
  <c r="D631" i="1"/>
  <c r="E631" i="1"/>
  <c r="F631" i="1"/>
  <c r="G631" i="1"/>
  <c r="H631" i="1"/>
  <c r="I631" i="1"/>
  <c r="A632" i="1"/>
  <c r="B632" i="1"/>
  <c r="C632" i="1"/>
  <c r="D632" i="1"/>
  <c r="E632" i="1"/>
  <c r="F632" i="1"/>
  <c r="G632" i="1"/>
  <c r="H632" i="1"/>
  <c r="I632" i="1"/>
  <c r="A633" i="1"/>
  <c r="B633" i="1"/>
  <c r="C633" i="1"/>
  <c r="D633" i="1"/>
  <c r="E633" i="1"/>
  <c r="F633" i="1"/>
  <c r="G633" i="1"/>
  <c r="H633" i="1"/>
  <c r="I633" i="1"/>
  <c r="A634" i="1"/>
  <c r="B634" i="1"/>
  <c r="C634" i="1"/>
  <c r="D634" i="1"/>
  <c r="E634" i="1"/>
  <c r="F634" i="1"/>
  <c r="G634" i="1"/>
  <c r="H634" i="1"/>
  <c r="I634" i="1"/>
  <c r="A635" i="1"/>
  <c r="B635" i="1"/>
  <c r="C635" i="1"/>
  <c r="D635" i="1"/>
  <c r="E635" i="1"/>
  <c r="F635" i="1"/>
  <c r="G635" i="1"/>
  <c r="H635" i="1"/>
  <c r="I635" i="1"/>
  <c r="A636" i="1"/>
  <c r="B636" i="1"/>
  <c r="C636" i="1"/>
  <c r="D636" i="1"/>
  <c r="E636" i="1"/>
  <c r="F636" i="1"/>
  <c r="G636" i="1"/>
  <c r="H636" i="1"/>
  <c r="I636" i="1"/>
  <c r="A637" i="1"/>
  <c r="B637" i="1"/>
  <c r="C637" i="1"/>
  <c r="D637" i="1"/>
  <c r="E637" i="1"/>
  <c r="F637" i="1"/>
  <c r="G637" i="1"/>
  <c r="H637" i="1"/>
  <c r="I637" i="1"/>
  <c r="A638" i="1"/>
  <c r="B638" i="1"/>
  <c r="C638" i="1"/>
  <c r="D638" i="1"/>
  <c r="E638" i="1"/>
  <c r="F638" i="1"/>
  <c r="G638" i="1"/>
  <c r="H638" i="1"/>
  <c r="I638" i="1"/>
  <c r="A639" i="1"/>
  <c r="B639" i="1"/>
  <c r="C639" i="1"/>
  <c r="D639" i="1"/>
  <c r="E639" i="1"/>
  <c r="F639" i="1"/>
  <c r="G639" i="1"/>
  <c r="H639" i="1"/>
  <c r="I639" i="1"/>
  <c r="A640" i="1"/>
  <c r="B640" i="1"/>
  <c r="C640" i="1"/>
  <c r="D640" i="1"/>
  <c r="E640" i="1"/>
  <c r="F640" i="1"/>
  <c r="G640" i="1"/>
  <c r="H640" i="1"/>
  <c r="I640" i="1"/>
  <c r="A641" i="1"/>
  <c r="B641" i="1"/>
  <c r="C641" i="1"/>
  <c r="D641" i="1"/>
  <c r="E641" i="1"/>
  <c r="F641" i="1"/>
  <c r="G641" i="1"/>
  <c r="H641" i="1"/>
  <c r="I641" i="1"/>
  <c r="A642" i="1"/>
  <c r="B642" i="1"/>
  <c r="C642" i="1"/>
  <c r="D642" i="1"/>
  <c r="E642" i="1"/>
  <c r="F642" i="1"/>
  <c r="G642" i="1"/>
  <c r="H642" i="1"/>
  <c r="I642" i="1"/>
  <c r="A643" i="1"/>
  <c r="B643" i="1"/>
  <c r="C643" i="1"/>
  <c r="D643" i="1"/>
  <c r="E643" i="1"/>
  <c r="F643" i="1"/>
  <c r="G643" i="1"/>
  <c r="H643" i="1"/>
  <c r="I643" i="1"/>
  <c r="A644" i="1"/>
  <c r="B644" i="1"/>
  <c r="C644" i="1"/>
  <c r="D644" i="1"/>
  <c r="E644" i="1"/>
  <c r="F644" i="1"/>
  <c r="G644" i="1"/>
  <c r="H644" i="1"/>
  <c r="I644" i="1"/>
  <c r="A645" i="1"/>
  <c r="B645" i="1"/>
  <c r="C645" i="1"/>
  <c r="D645" i="1"/>
  <c r="E645" i="1"/>
  <c r="F645" i="1"/>
  <c r="G645" i="1"/>
  <c r="H645" i="1"/>
  <c r="I645" i="1"/>
  <c r="A646" i="1"/>
  <c r="B646" i="1"/>
  <c r="C646" i="1"/>
  <c r="D646" i="1"/>
  <c r="E646" i="1"/>
  <c r="F646" i="1"/>
  <c r="G646" i="1"/>
  <c r="H646" i="1"/>
  <c r="I646" i="1"/>
  <c r="A647" i="1"/>
  <c r="B647" i="1"/>
  <c r="C647" i="1"/>
  <c r="D647" i="1"/>
  <c r="E647" i="1"/>
  <c r="F647" i="1"/>
  <c r="G647" i="1"/>
  <c r="H647" i="1"/>
  <c r="I647" i="1"/>
  <c r="A648" i="1"/>
  <c r="B648" i="1"/>
  <c r="C648" i="1"/>
  <c r="D648" i="1"/>
  <c r="E648" i="1"/>
  <c r="F648" i="1"/>
  <c r="G648" i="1"/>
  <c r="H648" i="1"/>
  <c r="I648" i="1"/>
  <c r="A649" i="1"/>
  <c r="B649" i="1"/>
  <c r="C649" i="1"/>
  <c r="D649" i="1"/>
  <c r="E649" i="1"/>
  <c r="F649" i="1"/>
  <c r="G649" i="1"/>
  <c r="H649" i="1"/>
  <c r="I649" i="1"/>
  <c r="A650" i="1"/>
  <c r="B650" i="1"/>
  <c r="C650" i="1"/>
  <c r="D650" i="1"/>
  <c r="E650" i="1"/>
  <c r="F650" i="1"/>
  <c r="G650" i="1"/>
  <c r="H650" i="1"/>
  <c r="I650" i="1"/>
  <c r="A651" i="1"/>
  <c r="B651" i="1"/>
  <c r="C651" i="1"/>
  <c r="D651" i="1"/>
  <c r="E651" i="1"/>
  <c r="F651" i="1"/>
  <c r="G651" i="1"/>
  <c r="H651" i="1"/>
  <c r="I651" i="1"/>
  <c r="A652" i="1"/>
  <c r="B652" i="1"/>
  <c r="C652" i="1"/>
  <c r="D652" i="1"/>
  <c r="E652" i="1"/>
  <c r="F652" i="1"/>
  <c r="G652" i="1"/>
  <c r="H652" i="1"/>
  <c r="I652" i="1"/>
  <c r="A653" i="1"/>
  <c r="B653" i="1"/>
  <c r="C653" i="1"/>
  <c r="D653" i="1"/>
  <c r="E653" i="1"/>
  <c r="F653" i="1"/>
  <c r="G653" i="1"/>
  <c r="H653" i="1"/>
  <c r="I653" i="1"/>
  <c r="A654" i="1"/>
  <c r="B654" i="1"/>
  <c r="C654" i="1"/>
  <c r="D654" i="1"/>
  <c r="E654" i="1"/>
  <c r="F654" i="1"/>
  <c r="G654" i="1"/>
  <c r="H654" i="1"/>
  <c r="I654" i="1"/>
  <c r="A655" i="1"/>
  <c r="B655" i="1"/>
  <c r="C655" i="1"/>
  <c r="D655" i="1"/>
  <c r="E655" i="1"/>
  <c r="F655" i="1"/>
  <c r="G655" i="1"/>
  <c r="H655" i="1"/>
  <c r="I655" i="1"/>
  <c r="A656" i="1"/>
  <c r="B656" i="1"/>
  <c r="C656" i="1"/>
  <c r="D656" i="1"/>
  <c r="E656" i="1"/>
  <c r="F656" i="1"/>
  <c r="G656" i="1"/>
  <c r="H656" i="1"/>
  <c r="I656" i="1"/>
  <c r="A657" i="1"/>
  <c r="B657" i="1"/>
  <c r="C657" i="1"/>
  <c r="D657" i="1"/>
  <c r="E657" i="1"/>
  <c r="F657" i="1"/>
  <c r="G657" i="1"/>
  <c r="H657" i="1"/>
  <c r="I657" i="1"/>
  <c r="A658" i="1"/>
  <c r="B658" i="1"/>
  <c r="C658" i="1"/>
  <c r="D658" i="1"/>
  <c r="E658" i="1"/>
  <c r="F658" i="1"/>
  <c r="G658" i="1"/>
  <c r="H658" i="1"/>
  <c r="I658" i="1"/>
  <c r="A659" i="1"/>
  <c r="B659" i="1"/>
  <c r="C659" i="1"/>
  <c r="D659" i="1"/>
  <c r="E659" i="1"/>
  <c r="F659" i="1"/>
  <c r="G659" i="1"/>
  <c r="H659" i="1"/>
  <c r="I659" i="1"/>
  <c r="A660" i="1"/>
  <c r="B660" i="1"/>
  <c r="C660" i="1"/>
  <c r="D660" i="1"/>
  <c r="E660" i="1"/>
  <c r="F660" i="1"/>
  <c r="G660" i="1"/>
  <c r="H660" i="1"/>
  <c r="I660" i="1"/>
  <c r="A661" i="1"/>
  <c r="B661" i="1"/>
  <c r="C661" i="1"/>
  <c r="D661" i="1"/>
  <c r="E661" i="1"/>
  <c r="F661" i="1"/>
  <c r="G661" i="1"/>
  <c r="H661" i="1"/>
  <c r="I661" i="1"/>
  <c r="A662" i="1"/>
  <c r="B662" i="1"/>
  <c r="C662" i="1"/>
  <c r="D662" i="1"/>
  <c r="E662" i="1"/>
  <c r="F662" i="1"/>
  <c r="G662" i="1"/>
  <c r="H662" i="1"/>
  <c r="I662" i="1"/>
  <c r="A663" i="1"/>
  <c r="B663" i="1"/>
  <c r="C663" i="1"/>
  <c r="D663" i="1"/>
  <c r="E663" i="1"/>
  <c r="F663" i="1"/>
  <c r="G663" i="1"/>
  <c r="H663" i="1"/>
  <c r="I663" i="1"/>
  <c r="A664" i="1"/>
  <c r="B664" i="1"/>
  <c r="C664" i="1"/>
  <c r="D664" i="1"/>
  <c r="E664" i="1"/>
  <c r="F664" i="1"/>
  <c r="G664" i="1"/>
  <c r="H664" i="1"/>
  <c r="I664" i="1"/>
  <c r="A665" i="1"/>
  <c r="B665" i="1"/>
  <c r="C665" i="1"/>
  <c r="D665" i="1"/>
  <c r="E665" i="1"/>
  <c r="F665" i="1"/>
  <c r="G665" i="1"/>
  <c r="H665" i="1"/>
  <c r="I665" i="1"/>
  <c r="A666" i="1"/>
  <c r="B666" i="1"/>
  <c r="C666" i="1"/>
  <c r="D666" i="1"/>
  <c r="E666" i="1"/>
  <c r="F666" i="1"/>
  <c r="G666" i="1"/>
  <c r="H666" i="1"/>
  <c r="I666" i="1"/>
  <c r="A667" i="1"/>
  <c r="B667" i="1"/>
  <c r="C667" i="1"/>
  <c r="D667" i="1"/>
  <c r="E667" i="1"/>
  <c r="F667" i="1"/>
  <c r="G667" i="1"/>
  <c r="H667" i="1"/>
  <c r="I667" i="1"/>
  <c r="A668" i="1"/>
  <c r="B668" i="1"/>
  <c r="C668" i="1"/>
  <c r="D668" i="1"/>
  <c r="E668" i="1"/>
  <c r="F668" i="1"/>
  <c r="G668" i="1"/>
  <c r="H668" i="1"/>
  <c r="I668" i="1"/>
  <c r="A669" i="1"/>
  <c r="B669" i="1"/>
  <c r="C669" i="1"/>
  <c r="D669" i="1"/>
  <c r="E669" i="1"/>
  <c r="F669" i="1"/>
  <c r="G669" i="1"/>
  <c r="H669" i="1"/>
  <c r="I669" i="1"/>
  <c r="A670" i="1"/>
  <c r="B670" i="1"/>
  <c r="C670" i="1"/>
  <c r="D670" i="1"/>
  <c r="E670" i="1"/>
  <c r="F670" i="1"/>
  <c r="G670" i="1"/>
  <c r="H670" i="1"/>
  <c r="I670" i="1"/>
  <c r="A671" i="1"/>
  <c r="B671" i="1"/>
  <c r="C671" i="1"/>
  <c r="D671" i="1"/>
  <c r="E671" i="1"/>
  <c r="F671" i="1"/>
  <c r="G671" i="1"/>
  <c r="H671" i="1"/>
  <c r="I671" i="1"/>
  <c r="A672" i="1"/>
  <c r="B672" i="1"/>
  <c r="C672" i="1"/>
  <c r="D672" i="1"/>
  <c r="E672" i="1"/>
  <c r="F672" i="1"/>
  <c r="G672" i="1"/>
  <c r="H672" i="1"/>
  <c r="I672" i="1"/>
  <c r="A673" i="1"/>
  <c r="B673" i="1"/>
  <c r="C673" i="1"/>
  <c r="D673" i="1"/>
  <c r="E673" i="1"/>
  <c r="F673" i="1"/>
  <c r="G673" i="1"/>
  <c r="H673" i="1"/>
  <c r="I673" i="1"/>
  <c r="A674" i="1"/>
  <c r="B674" i="1"/>
  <c r="C674" i="1"/>
  <c r="D674" i="1"/>
  <c r="E674" i="1"/>
  <c r="F674" i="1"/>
  <c r="G674" i="1"/>
  <c r="H674" i="1"/>
  <c r="I674" i="1"/>
  <c r="A675" i="1"/>
  <c r="B675" i="1"/>
  <c r="C675" i="1"/>
  <c r="D675" i="1"/>
  <c r="E675" i="1"/>
  <c r="F675" i="1"/>
  <c r="G675" i="1"/>
  <c r="H675" i="1"/>
  <c r="I675" i="1"/>
  <c r="A676" i="1"/>
  <c r="B676" i="1"/>
  <c r="C676" i="1"/>
  <c r="D676" i="1"/>
  <c r="E676" i="1"/>
  <c r="F676" i="1"/>
  <c r="G676" i="1"/>
  <c r="H676" i="1"/>
  <c r="I676" i="1"/>
  <c r="A677" i="1"/>
  <c r="B677" i="1"/>
  <c r="C677" i="1"/>
  <c r="D677" i="1"/>
  <c r="E677" i="1"/>
  <c r="F677" i="1"/>
  <c r="G677" i="1"/>
  <c r="H677" i="1"/>
  <c r="I677" i="1"/>
  <c r="A678" i="1"/>
  <c r="B678" i="1"/>
  <c r="C678" i="1"/>
  <c r="D678" i="1"/>
  <c r="E678" i="1"/>
  <c r="F678" i="1"/>
  <c r="G678" i="1"/>
  <c r="H678" i="1"/>
  <c r="I678" i="1"/>
  <c r="A679" i="1"/>
  <c r="B679" i="1"/>
  <c r="C679" i="1"/>
  <c r="D679" i="1"/>
  <c r="E679" i="1"/>
  <c r="F679" i="1"/>
  <c r="G679" i="1"/>
  <c r="H679" i="1"/>
  <c r="I679" i="1"/>
  <c r="A680" i="1"/>
  <c r="B680" i="1"/>
  <c r="C680" i="1"/>
  <c r="D680" i="1"/>
  <c r="E680" i="1"/>
  <c r="F680" i="1"/>
  <c r="G680" i="1"/>
  <c r="H680" i="1"/>
  <c r="I680" i="1"/>
  <c r="A681" i="1"/>
  <c r="B681" i="1"/>
  <c r="C681" i="1"/>
  <c r="D681" i="1"/>
  <c r="E681" i="1"/>
  <c r="F681" i="1"/>
  <c r="G681" i="1"/>
  <c r="H681" i="1"/>
  <c r="I681" i="1"/>
  <c r="A682" i="1"/>
  <c r="B682" i="1"/>
  <c r="C682" i="1"/>
  <c r="D682" i="1"/>
  <c r="E682" i="1"/>
  <c r="F682" i="1"/>
  <c r="G682" i="1"/>
  <c r="H682" i="1"/>
  <c r="I682" i="1"/>
  <c r="A683" i="1"/>
  <c r="B683" i="1"/>
  <c r="C683" i="1"/>
  <c r="D683" i="1"/>
  <c r="E683" i="1"/>
  <c r="F683" i="1"/>
  <c r="G683" i="1"/>
  <c r="H683" i="1"/>
  <c r="I683" i="1"/>
  <c r="A684" i="1"/>
  <c r="B684" i="1"/>
  <c r="C684" i="1"/>
  <c r="D684" i="1"/>
  <c r="E684" i="1"/>
  <c r="F684" i="1"/>
  <c r="G684" i="1"/>
  <c r="H684" i="1"/>
  <c r="I684" i="1"/>
  <c r="A685" i="1"/>
  <c r="B685" i="1"/>
  <c r="C685" i="1"/>
  <c r="D685" i="1"/>
  <c r="E685" i="1"/>
  <c r="F685" i="1"/>
  <c r="G685" i="1"/>
  <c r="H685" i="1"/>
  <c r="I685" i="1"/>
  <c r="A686" i="1"/>
  <c r="B686" i="1"/>
  <c r="C686" i="1"/>
  <c r="D686" i="1"/>
  <c r="E686" i="1"/>
  <c r="F686" i="1"/>
  <c r="G686" i="1"/>
  <c r="H686" i="1"/>
  <c r="I686" i="1"/>
  <c r="A687" i="1"/>
  <c r="B687" i="1"/>
  <c r="C687" i="1"/>
  <c r="D687" i="1"/>
  <c r="E687" i="1"/>
  <c r="F687" i="1"/>
  <c r="G687" i="1"/>
  <c r="H687" i="1"/>
  <c r="I687" i="1"/>
  <c r="A688" i="1"/>
  <c r="B688" i="1"/>
  <c r="C688" i="1"/>
  <c r="D688" i="1"/>
  <c r="E688" i="1"/>
  <c r="F688" i="1"/>
  <c r="G688" i="1"/>
  <c r="H688" i="1"/>
  <c r="I688" i="1"/>
  <c r="A689" i="1"/>
  <c r="B689" i="1"/>
  <c r="C689" i="1"/>
  <c r="D689" i="1"/>
  <c r="E689" i="1"/>
  <c r="F689" i="1"/>
  <c r="G689" i="1"/>
  <c r="H689" i="1"/>
  <c r="I689" i="1"/>
  <c r="A690" i="1"/>
  <c r="B690" i="1"/>
  <c r="C690" i="1"/>
  <c r="D690" i="1"/>
  <c r="E690" i="1"/>
  <c r="F690" i="1"/>
  <c r="G690" i="1"/>
  <c r="H690" i="1"/>
  <c r="I690" i="1"/>
  <c r="A691" i="1"/>
  <c r="B691" i="1"/>
  <c r="C691" i="1"/>
  <c r="D691" i="1"/>
  <c r="E691" i="1"/>
  <c r="F691" i="1"/>
  <c r="G691" i="1"/>
  <c r="H691" i="1"/>
  <c r="I691" i="1"/>
  <c r="A692" i="1"/>
  <c r="B692" i="1"/>
  <c r="C692" i="1"/>
  <c r="D692" i="1"/>
  <c r="E692" i="1"/>
  <c r="F692" i="1"/>
  <c r="G692" i="1"/>
  <c r="H692" i="1"/>
  <c r="I692" i="1"/>
  <c r="A693" i="1"/>
  <c r="B693" i="1"/>
  <c r="C693" i="1"/>
  <c r="D693" i="1"/>
  <c r="E693" i="1"/>
  <c r="F693" i="1"/>
  <c r="G693" i="1"/>
  <c r="H693" i="1"/>
  <c r="I693" i="1"/>
  <c r="A694" i="1"/>
  <c r="B694" i="1"/>
  <c r="C694" i="1"/>
  <c r="D694" i="1"/>
  <c r="E694" i="1"/>
  <c r="F694" i="1"/>
  <c r="G694" i="1"/>
  <c r="H694" i="1"/>
  <c r="I694" i="1"/>
  <c r="A695" i="1"/>
  <c r="B695" i="1"/>
  <c r="C695" i="1"/>
  <c r="D695" i="1"/>
  <c r="E695" i="1"/>
  <c r="F695" i="1"/>
  <c r="G695" i="1"/>
  <c r="H695" i="1"/>
  <c r="I695" i="1"/>
  <c r="A696" i="1"/>
  <c r="B696" i="1"/>
  <c r="C696" i="1"/>
  <c r="D696" i="1"/>
  <c r="E696" i="1"/>
  <c r="F696" i="1"/>
  <c r="G696" i="1"/>
  <c r="H696" i="1"/>
  <c r="I696" i="1"/>
  <c r="A697" i="1"/>
  <c r="B697" i="1"/>
  <c r="C697" i="1"/>
  <c r="D697" i="1"/>
  <c r="E697" i="1"/>
  <c r="F697" i="1"/>
  <c r="G697" i="1"/>
  <c r="H697" i="1"/>
  <c r="I697" i="1"/>
  <c r="A698" i="1"/>
  <c r="B698" i="1"/>
  <c r="C698" i="1"/>
  <c r="D698" i="1"/>
  <c r="E698" i="1"/>
  <c r="F698" i="1"/>
  <c r="G698" i="1"/>
  <c r="H698" i="1"/>
  <c r="I698" i="1"/>
  <c r="A699" i="1"/>
  <c r="B699" i="1"/>
  <c r="C699" i="1"/>
  <c r="D699" i="1"/>
  <c r="E699" i="1"/>
  <c r="F699" i="1"/>
  <c r="G699" i="1"/>
  <c r="H699" i="1"/>
  <c r="I699" i="1"/>
  <c r="A700" i="1"/>
  <c r="B700" i="1"/>
  <c r="C700" i="1"/>
  <c r="D700" i="1"/>
  <c r="E700" i="1"/>
  <c r="F700" i="1"/>
  <c r="G700" i="1"/>
  <c r="H700" i="1"/>
  <c r="I700" i="1"/>
  <c r="A701" i="1"/>
  <c r="B701" i="1"/>
  <c r="C701" i="1"/>
  <c r="D701" i="1"/>
  <c r="E701" i="1"/>
  <c r="F701" i="1"/>
  <c r="G701" i="1"/>
  <c r="H701" i="1"/>
  <c r="I701" i="1"/>
  <c r="A702" i="1"/>
  <c r="B702" i="1"/>
  <c r="C702" i="1"/>
  <c r="D702" i="1"/>
  <c r="E702" i="1"/>
  <c r="F702" i="1"/>
  <c r="G702" i="1"/>
  <c r="H702" i="1"/>
  <c r="I702" i="1"/>
  <c r="A703" i="1"/>
  <c r="B703" i="1"/>
  <c r="C703" i="1"/>
  <c r="D703" i="1"/>
  <c r="E703" i="1"/>
  <c r="F703" i="1"/>
  <c r="G703" i="1"/>
  <c r="H703" i="1"/>
  <c r="I703" i="1"/>
  <c r="A704" i="1"/>
  <c r="B704" i="1"/>
  <c r="C704" i="1"/>
  <c r="D704" i="1"/>
  <c r="E704" i="1"/>
  <c r="F704" i="1"/>
  <c r="G704" i="1"/>
  <c r="H704" i="1"/>
  <c r="I704" i="1"/>
  <c r="A705" i="1"/>
  <c r="B705" i="1"/>
  <c r="C705" i="1"/>
  <c r="D705" i="1"/>
  <c r="E705" i="1"/>
  <c r="F705" i="1"/>
  <c r="G705" i="1"/>
  <c r="H705" i="1"/>
  <c r="I705" i="1"/>
  <c r="A706" i="1"/>
  <c r="B706" i="1"/>
  <c r="C706" i="1"/>
  <c r="D706" i="1"/>
  <c r="E706" i="1"/>
  <c r="F706" i="1"/>
  <c r="G706" i="1"/>
  <c r="H706" i="1"/>
  <c r="I706" i="1"/>
  <c r="A707" i="1"/>
  <c r="B707" i="1"/>
  <c r="C707" i="1"/>
  <c r="D707" i="1"/>
  <c r="E707" i="1"/>
  <c r="F707" i="1"/>
  <c r="G707" i="1"/>
  <c r="H707" i="1"/>
  <c r="I707" i="1"/>
  <c r="A708" i="1"/>
  <c r="B708" i="1"/>
  <c r="C708" i="1"/>
  <c r="D708" i="1"/>
  <c r="E708" i="1"/>
  <c r="F708" i="1"/>
  <c r="G708" i="1"/>
  <c r="H708" i="1"/>
  <c r="I708" i="1"/>
  <c r="A709" i="1"/>
  <c r="B709" i="1"/>
  <c r="C709" i="1"/>
  <c r="D709" i="1"/>
  <c r="E709" i="1"/>
  <c r="F709" i="1"/>
  <c r="G709" i="1"/>
  <c r="H709" i="1"/>
  <c r="I709" i="1"/>
  <c r="A710" i="1"/>
  <c r="B710" i="1"/>
  <c r="C710" i="1"/>
  <c r="D710" i="1"/>
  <c r="E710" i="1"/>
  <c r="F710" i="1"/>
  <c r="G710" i="1"/>
  <c r="H710" i="1"/>
  <c r="I710" i="1"/>
  <c r="A711" i="1"/>
  <c r="B711" i="1"/>
  <c r="C711" i="1"/>
  <c r="D711" i="1"/>
  <c r="E711" i="1"/>
  <c r="F711" i="1"/>
  <c r="G711" i="1"/>
  <c r="H711" i="1"/>
  <c r="I711" i="1"/>
  <c r="A712" i="1"/>
  <c r="B712" i="1"/>
  <c r="C712" i="1"/>
  <c r="D712" i="1"/>
  <c r="E712" i="1"/>
  <c r="F712" i="1"/>
  <c r="G712" i="1"/>
  <c r="H712" i="1"/>
  <c r="I712" i="1"/>
  <c r="A713" i="1"/>
  <c r="B713" i="1"/>
  <c r="C713" i="1"/>
  <c r="D713" i="1"/>
  <c r="E713" i="1"/>
  <c r="F713" i="1"/>
  <c r="G713" i="1"/>
  <c r="H713" i="1"/>
  <c r="I713" i="1"/>
  <c r="A714" i="1"/>
  <c r="B714" i="1"/>
  <c r="C714" i="1"/>
  <c r="D714" i="1"/>
  <c r="E714" i="1"/>
  <c r="F714" i="1"/>
  <c r="G714" i="1"/>
  <c r="H714" i="1"/>
  <c r="I714" i="1"/>
  <c r="A715" i="1"/>
  <c r="B715" i="1"/>
  <c r="C715" i="1"/>
  <c r="D715" i="1"/>
  <c r="E715" i="1"/>
  <c r="F715" i="1"/>
  <c r="G715" i="1"/>
  <c r="H715" i="1"/>
  <c r="I715" i="1"/>
  <c r="A716" i="1"/>
  <c r="B716" i="1"/>
  <c r="C716" i="1"/>
  <c r="D716" i="1"/>
  <c r="E716" i="1"/>
  <c r="F716" i="1"/>
  <c r="G716" i="1"/>
  <c r="H716" i="1"/>
  <c r="I716" i="1"/>
  <c r="A717" i="1"/>
  <c r="B717" i="1"/>
  <c r="C717" i="1"/>
  <c r="D717" i="1"/>
  <c r="E717" i="1"/>
  <c r="F717" i="1"/>
  <c r="G717" i="1"/>
  <c r="H717" i="1"/>
  <c r="I717" i="1"/>
  <c r="A718" i="1"/>
  <c r="B718" i="1"/>
  <c r="C718" i="1"/>
  <c r="D718" i="1"/>
  <c r="E718" i="1"/>
  <c r="F718" i="1"/>
  <c r="G718" i="1"/>
  <c r="H718" i="1"/>
  <c r="I718" i="1"/>
  <c r="A719" i="1"/>
  <c r="B719" i="1"/>
  <c r="C719" i="1"/>
  <c r="D719" i="1"/>
  <c r="E719" i="1"/>
  <c r="F719" i="1"/>
  <c r="G719" i="1"/>
  <c r="H719" i="1"/>
  <c r="I719" i="1"/>
  <c r="A720" i="1"/>
  <c r="B720" i="1"/>
  <c r="C720" i="1"/>
  <c r="D720" i="1"/>
  <c r="E720" i="1"/>
  <c r="F720" i="1"/>
  <c r="G720" i="1"/>
  <c r="H720" i="1"/>
  <c r="I720" i="1"/>
  <c r="A721" i="1"/>
  <c r="B721" i="1"/>
  <c r="C721" i="1"/>
  <c r="D721" i="1"/>
  <c r="E721" i="1"/>
  <c r="F721" i="1"/>
  <c r="G721" i="1"/>
  <c r="H721" i="1"/>
  <c r="I721" i="1"/>
  <c r="A722" i="1"/>
  <c r="B722" i="1"/>
  <c r="C722" i="1"/>
  <c r="D722" i="1"/>
  <c r="E722" i="1"/>
  <c r="F722" i="1"/>
  <c r="G722" i="1"/>
  <c r="H722" i="1"/>
  <c r="I722" i="1"/>
  <c r="A723" i="1"/>
  <c r="B723" i="1"/>
  <c r="C723" i="1"/>
  <c r="D723" i="1"/>
  <c r="E723" i="1"/>
  <c r="F723" i="1"/>
  <c r="G723" i="1"/>
  <c r="H723" i="1"/>
  <c r="I723" i="1"/>
  <c r="A724" i="1"/>
  <c r="B724" i="1"/>
  <c r="C724" i="1"/>
  <c r="D724" i="1"/>
  <c r="E724" i="1"/>
  <c r="F724" i="1"/>
  <c r="G724" i="1"/>
  <c r="H724" i="1"/>
  <c r="I724" i="1"/>
  <c r="A725" i="1"/>
  <c r="B725" i="1"/>
  <c r="C725" i="1"/>
  <c r="D725" i="1"/>
  <c r="E725" i="1"/>
  <c r="F725" i="1"/>
  <c r="G725" i="1"/>
  <c r="H725" i="1"/>
  <c r="I725" i="1"/>
  <c r="A726" i="1"/>
  <c r="B726" i="1"/>
  <c r="C726" i="1"/>
  <c r="D726" i="1"/>
  <c r="E726" i="1"/>
  <c r="F726" i="1"/>
  <c r="G726" i="1"/>
  <c r="H726" i="1"/>
  <c r="I726" i="1"/>
  <c r="A727" i="1"/>
  <c r="B727" i="1"/>
  <c r="C727" i="1"/>
  <c r="D727" i="1"/>
  <c r="E727" i="1"/>
  <c r="F727" i="1"/>
  <c r="G727" i="1"/>
  <c r="H727" i="1"/>
  <c r="I727" i="1"/>
  <c r="A728" i="1"/>
  <c r="B728" i="1"/>
  <c r="C728" i="1"/>
  <c r="D728" i="1"/>
  <c r="E728" i="1"/>
  <c r="F728" i="1"/>
  <c r="G728" i="1"/>
  <c r="H728" i="1"/>
  <c r="I728" i="1"/>
  <c r="A729" i="1"/>
  <c r="B729" i="1"/>
  <c r="C729" i="1"/>
  <c r="D729" i="1"/>
  <c r="E729" i="1"/>
  <c r="F729" i="1"/>
  <c r="G729" i="1"/>
  <c r="H729" i="1"/>
  <c r="I729" i="1"/>
  <c r="A730" i="1"/>
  <c r="B730" i="1"/>
  <c r="C730" i="1"/>
  <c r="D730" i="1"/>
  <c r="E730" i="1"/>
  <c r="F730" i="1"/>
  <c r="G730" i="1"/>
  <c r="H730" i="1"/>
  <c r="I730" i="1"/>
  <c r="A731" i="1"/>
  <c r="B731" i="1"/>
  <c r="C731" i="1"/>
  <c r="D731" i="1"/>
  <c r="E731" i="1"/>
  <c r="F731" i="1"/>
  <c r="G731" i="1"/>
  <c r="H731" i="1"/>
  <c r="I731" i="1"/>
  <c r="A732" i="1"/>
  <c r="B732" i="1"/>
  <c r="C732" i="1"/>
  <c r="D732" i="1"/>
  <c r="E732" i="1"/>
  <c r="F732" i="1"/>
  <c r="G732" i="1"/>
  <c r="H732" i="1"/>
  <c r="I732" i="1"/>
  <c r="A733" i="1"/>
  <c r="B733" i="1"/>
  <c r="C733" i="1"/>
  <c r="D733" i="1"/>
  <c r="E733" i="1"/>
  <c r="F733" i="1"/>
  <c r="G733" i="1"/>
  <c r="H733" i="1"/>
  <c r="I733" i="1"/>
  <c r="A734" i="1"/>
  <c r="B734" i="1"/>
  <c r="C734" i="1"/>
  <c r="D734" i="1"/>
  <c r="E734" i="1"/>
  <c r="F734" i="1"/>
  <c r="G734" i="1"/>
  <c r="H734" i="1"/>
  <c r="I734" i="1"/>
  <c r="A735" i="1"/>
  <c r="B735" i="1"/>
  <c r="C735" i="1"/>
  <c r="D735" i="1"/>
  <c r="E735" i="1"/>
  <c r="F735" i="1"/>
  <c r="G735" i="1"/>
  <c r="H735" i="1"/>
  <c r="I735" i="1"/>
  <c r="A736" i="1"/>
  <c r="B736" i="1"/>
  <c r="C736" i="1"/>
  <c r="D736" i="1"/>
  <c r="E736" i="1"/>
  <c r="F736" i="1"/>
  <c r="G736" i="1"/>
  <c r="H736" i="1"/>
  <c r="I736" i="1"/>
  <c r="A737" i="1"/>
  <c r="B737" i="1"/>
  <c r="C737" i="1"/>
  <c r="D737" i="1"/>
  <c r="E737" i="1"/>
  <c r="F737" i="1"/>
  <c r="G737" i="1"/>
  <c r="H737" i="1"/>
  <c r="I737" i="1"/>
  <c r="A738" i="1"/>
  <c r="B738" i="1"/>
  <c r="C738" i="1"/>
  <c r="D738" i="1"/>
  <c r="E738" i="1"/>
  <c r="F738" i="1"/>
  <c r="G738" i="1"/>
  <c r="H738" i="1"/>
  <c r="I738" i="1"/>
  <c r="A739" i="1"/>
  <c r="B739" i="1"/>
  <c r="C739" i="1"/>
  <c r="D739" i="1"/>
  <c r="E739" i="1"/>
  <c r="F739" i="1"/>
  <c r="G739" i="1"/>
  <c r="H739" i="1"/>
  <c r="I739" i="1"/>
  <c r="A740" i="1"/>
  <c r="B740" i="1"/>
  <c r="C740" i="1"/>
  <c r="D740" i="1"/>
  <c r="E740" i="1"/>
  <c r="F740" i="1"/>
  <c r="G740" i="1"/>
  <c r="H740" i="1"/>
  <c r="I740" i="1"/>
  <c r="A741" i="1"/>
  <c r="B741" i="1"/>
  <c r="C741" i="1"/>
  <c r="D741" i="1"/>
  <c r="E741" i="1"/>
  <c r="F741" i="1"/>
  <c r="G741" i="1"/>
  <c r="H741" i="1"/>
  <c r="I741" i="1"/>
  <c r="A742" i="1"/>
  <c r="B742" i="1"/>
  <c r="C742" i="1"/>
  <c r="D742" i="1"/>
  <c r="E742" i="1"/>
  <c r="F742" i="1"/>
  <c r="G742" i="1"/>
  <c r="H742" i="1"/>
  <c r="I742" i="1"/>
  <c r="A743" i="1"/>
  <c r="B743" i="1"/>
  <c r="C743" i="1"/>
  <c r="D743" i="1"/>
  <c r="E743" i="1"/>
  <c r="F743" i="1"/>
  <c r="G743" i="1"/>
  <c r="H743" i="1"/>
  <c r="I743" i="1"/>
  <c r="A744" i="1"/>
  <c r="B744" i="1"/>
  <c r="C744" i="1"/>
  <c r="D744" i="1"/>
  <c r="E744" i="1"/>
  <c r="F744" i="1"/>
  <c r="G744" i="1"/>
  <c r="H744" i="1"/>
  <c r="I744" i="1"/>
  <c r="A745" i="1"/>
  <c r="B745" i="1"/>
  <c r="C745" i="1"/>
  <c r="D745" i="1"/>
  <c r="E745" i="1"/>
  <c r="F745" i="1"/>
  <c r="G745" i="1"/>
  <c r="H745" i="1"/>
  <c r="I745" i="1"/>
  <c r="A746" i="1"/>
  <c r="B746" i="1"/>
  <c r="C746" i="1"/>
  <c r="D746" i="1"/>
  <c r="E746" i="1"/>
  <c r="F746" i="1"/>
  <c r="G746" i="1"/>
  <c r="H746" i="1"/>
  <c r="I746" i="1"/>
  <c r="A747" i="1"/>
  <c r="B747" i="1"/>
  <c r="C747" i="1"/>
  <c r="D747" i="1"/>
  <c r="E747" i="1"/>
  <c r="F747" i="1"/>
  <c r="G747" i="1"/>
  <c r="H747" i="1"/>
  <c r="I747" i="1"/>
  <c r="A748" i="1"/>
  <c r="B748" i="1"/>
  <c r="C748" i="1"/>
  <c r="D748" i="1"/>
  <c r="E748" i="1"/>
  <c r="F748" i="1"/>
  <c r="G748" i="1"/>
  <c r="H748" i="1"/>
  <c r="I748" i="1"/>
  <c r="A749" i="1"/>
  <c r="B749" i="1"/>
  <c r="C749" i="1"/>
  <c r="D749" i="1"/>
  <c r="E749" i="1"/>
  <c r="F749" i="1"/>
  <c r="G749" i="1"/>
  <c r="H749" i="1"/>
  <c r="I749" i="1"/>
  <c r="A750" i="1"/>
  <c r="B750" i="1"/>
  <c r="C750" i="1"/>
  <c r="D750" i="1"/>
  <c r="E750" i="1"/>
  <c r="F750" i="1"/>
  <c r="G750" i="1"/>
  <c r="H750" i="1"/>
  <c r="I750" i="1"/>
  <c r="A751" i="1"/>
  <c r="B751" i="1"/>
  <c r="C751" i="1"/>
  <c r="D751" i="1"/>
  <c r="E751" i="1"/>
  <c r="F751" i="1"/>
  <c r="G751" i="1"/>
  <c r="H751" i="1"/>
  <c r="I751" i="1"/>
  <c r="A752" i="1"/>
  <c r="B752" i="1"/>
  <c r="C752" i="1"/>
  <c r="D752" i="1"/>
  <c r="E752" i="1"/>
  <c r="F752" i="1"/>
  <c r="G752" i="1"/>
  <c r="H752" i="1"/>
  <c r="I752" i="1"/>
  <c r="A753" i="1"/>
  <c r="B753" i="1"/>
  <c r="C753" i="1"/>
  <c r="D753" i="1"/>
  <c r="E753" i="1"/>
  <c r="F753" i="1"/>
  <c r="G753" i="1"/>
  <c r="H753" i="1"/>
  <c r="I753" i="1"/>
  <c r="A754" i="1"/>
  <c r="B754" i="1"/>
  <c r="C754" i="1"/>
  <c r="D754" i="1"/>
  <c r="E754" i="1"/>
  <c r="F754" i="1"/>
  <c r="G754" i="1"/>
  <c r="H754" i="1"/>
  <c r="I754" i="1"/>
  <c r="A755" i="1"/>
  <c r="B755" i="1"/>
  <c r="C755" i="1"/>
  <c r="D755" i="1"/>
  <c r="E755" i="1"/>
  <c r="F755" i="1"/>
  <c r="G755" i="1"/>
  <c r="H755" i="1"/>
  <c r="I755" i="1"/>
  <c r="A756" i="1"/>
  <c r="B756" i="1"/>
  <c r="C756" i="1"/>
  <c r="D756" i="1"/>
  <c r="E756" i="1"/>
  <c r="F756" i="1"/>
  <c r="G756" i="1"/>
  <c r="H756" i="1"/>
  <c r="I756" i="1"/>
  <c r="A757" i="1"/>
  <c r="B757" i="1"/>
  <c r="C757" i="1"/>
  <c r="D757" i="1"/>
  <c r="E757" i="1"/>
  <c r="F757" i="1"/>
  <c r="G757" i="1"/>
  <c r="H757" i="1"/>
  <c r="I757" i="1"/>
  <c r="A758" i="1"/>
  <c r="B758" i="1"/>
  <c r="C758" i="1"/>
  <c r="D758" i="1"/>
  <c r="E758" i="1"/>
  <c r="F758" i="1"/>
  <c r="G758" i="1"/>
  <c r="H758" i="1"/>
  <c r="I758" i="1"/>
  <c r="A759" i="1"/>
  <c r="B759" i="1"/>
  <c r="C759" i="1"/>
  <c r="D759" i="1"/>
  <c r="E759" i="1"/>
  <c r="F759" i="1"/>
  <c r="G759" i="1"/>
  <c r="H759" i="1"/>
  <c r="I759" i="1"/>
  <c r="A760" i="1"/>
  <c r="B760" i="1"/>
  <c r="C760" i="1"/>
  <c r="D760" i="1"/>
  <c r="E760" i="1"/>
  <c r="F760" i="1"/>
  <c r="G760" i="1"/>
  <c r="H760" i="1"/>
  <c r="I760" i="1"/>
  <c r="A761" i="1"/>
  <c r="B761" i="1"/>
  <c r="C761" i="1"/>
  <c r="D761" i="1"/>
  <c r="E761" i="1"/>
  <c r="F761" i="1"/>
  <c r="G761" i="1"/>
  <c r="H761" i="1"/>
  <c r="I761" i="1"/>
  <c r="A762" i="1"/>
  <c r="B762" i="1"/>
  <c r="C762" i="1"/>
  <c r="D762" i="1"/>
  <c r="E762" i="1"/>
  <c r="F762" i="1"/>
  <c r="G762" i="1"/>
  <c r="H762" i="1"/>
  <c r="I762" i="1"/>
  <c r="A763" i="1"/>
  <c r="B763" i="1"/>
  <c r="C763" i="1"/>
  <c r="D763" i="1"/>
  <c r="E763" i="1"/>
  <c r="F763" i="1"/>
  <c r="G763" i="1"/>
  <c r="H763" i="1"/>
  <c r="I763" i="1"/>
  <c r="A764" i="1"/>
  <c r="B764" i="1"/>
  <c r="C764" i="1"/>
  <c r="D764" i="1"/>
  <c r="E764" i="1"/>
  <c r="F764" i="1"/>
  <c r="G764" i="1"/>
  <c r="H764" i="1"/>
  <c r="I764" i="1"/>
  <c r="A765" i="1"/>
  <c r="B765" i="1"/>
  <c r="C765" i="1"/>
  <c r="D765" i="1"/>
  <c r="E765" i="1"/>
  <c r="F765" i="1"/>
  <c r="G765" i="1"/>
  <c r="H765" i="1"/>
  <c r="I765" i="1"/>
  <c r="A766" i="1"/>
  <c r="B766" i="1"/>
  <c r="C766" i="1"/>
  <c r="D766" i="1"/>
  <c r="E766" i="1"/>
  <c r="F766" i="1"/>
  <c r="G766" i="1"/>
  <c r="H766" i="1"/>
  <c r="I766" i="1"/>
  <c r="A767" i="1"/>
  <c r="B767" i="1"/>
  <c r="C767" i="1"/>
  <c r="D767" i="1"/>
  <c r="E767" i="1"/>
  <c r="F767" i="1"/>
  <c r="G767" i="1"/>
  <c r="H767" i="1"/>
  <c r="I767" i="1"/>
  <c r="A768" i="1"/>
  <c r="B768" i="1"/>
  <c r="C768" i="1"/>
  <c r="D768" i="1"/>
  <c r="E768" i="1"/>
  <c r="F768" i="1"/>
  <c r="G768" i="1"/>
  <c r="H768" i="1"/>
  <c r="I768" i="1"/>
  <c r="A769" i="1"/>
  <c r="B769" i="1"/>
  <c r="C769" i="1"/>
  <c r="D769" i="1"/>
  <c r="E769" i="1"/>
  <c r="F769" i="1"/>
  <c r="G769" i="1"/>
  <c r="H769" i="1"/>
  <c r="I769" i="1"/>
  <c r="A770" i="1"/>
  <c r="B770" i="1"/>
  <c r="C770" i="1"/>
  <c r="D770" i="1"/>
  <c r="E770" i="1"/>
  <c r="F770" i="1"/>
  <c r="G770" i="1"/>
  <c r="H770" i="1"/>
  <c r="I770" i="1"/>
  <c r="A771" i="1"/>
  <c r="B771" i="1"/>
  <c r="C771" i="1"/>
  <c r="D771" i="1"/>
  <c r="E771" i="1"/>
  <c r="F771" i="1"/>
  <c r="G771" i="1"/>
  <c r="H771" i="1"/>
  <c r="I771" i="1"/>
  <c r="A772" i="1"/>
  <c r="B772" i="1"/>
  <c r="C772" i="1"/>
  <c r="D772" i="1"/>
  <c r="E772" i="1"/>
  <c r="F772" i="1"/>
  <c r="G772" i="1"/>
  <c r="H772" i="1"/>
  <c r="I772" i="1"/>
  <c r="A773" i="1"/>
  <c r="B773" i="1"/>
  <c r="C773" i="1"/>
  <c r="D773" i="1"/>
  <c r="E773" i="1"/>
  <c r="F773" i="1"/>
  <c r="G773" i="1"/>
  <c r="H773" i="1"/>
  <c r="I773" i="1"/>
  <c r="A774" i="1"/>
  <c r="B774" i="1"/>
  <c r="C774" i="1"/>
  <c r="D774" i="1"/>
  <c r="E774" i="1"/>
  <c r="F774" i="1"/>
  <c r="G774" i="1"/>
  <c r="H774" i="1"/>
  <c r="I774" i="1"/>
  <c r="A775" i="1"/>
  <c r="B775" i="1"/>
  <c r="C775" i="1"/>
  <c r="D775" i="1"/>
  <c r="E775" i="1"/>
  <c r="F775" i="1"/>
  <c r="G775" i="1"/>
  <c r="H775" i="1"/>
  <c r="I775" i="1"/>
  <c r="A776" i="1"/>
  <c r="B776" i="1"/>
  <c r="C776" i="1"/>
  <c r="D776" i="1"/>
  <c r="E776" i="1"/>
  <c r="F776" i="1"/>
  <c r="G776" i="1"/>
  <c r="H776" i="1"/>
  <c r="I776" i="1"/>
  <c r="A777" i="1"/>
  <c r="B777" i="1"/>
  <c r="C777" i="1"/>
  <c r="D777" i="1"/>
  <c r="E777" i="1"/>
  <c r="F777" i="1"/>
  <c r="G777" i="1"/>
  <c r="H777" i="1"/>
  <c r="I777" i="1"/>
  <c r="A778" i="1"/>
  <c r="B778" i="1"/>
  <c r="C778" i="1"/>
  <c r="D778" i="1"/>
  <c r="E778" i="1"/>
  <c r="F778" i="1"/>
  <c r="G778" i="1"/>
  <c r="H778" i="1"/>
  <c r="I778" i="1"/>
  <c r="A779" i="1"/>
  <c r="B779" i="1"/>
  <c r="C779" i="1"/>
  <c r="D779" i="1"/>
  <c r="E779" i="1"/>
  <c r="F779" i="1"/>
  <c r="G779" i="1"/>
  <c r="H779" i="1"/>
  <c r="I779" i="1"/>
  <c r="A780" i="1"/>
  <c r="B780" i="1"/>
  <c r="C780" i="1"/>
  <c r="D780" i="1"/>
  <c r="E780" i="1"/>
  <c r="F780" i="1"/>
  <c r="G780" i="1"/>
  <c r="H780" i="1"/>
  <c r="I780" i="1"/>
  <c r="A781" i="1"/>
  <c r="B781" i="1"/>
  <c r="C781" i="1"/>
  <c r="D781" i="1"/>
  <c r="E781" i="1"/>
  <c r="F781" i="1"/>
  <c r="G781" i="1"/>
  <c r="H781" i="1"/>
  <c r="I781" i="1"/>
  <c r="A782" i="1"/>
  <c r="B782" i="1"/>
  <c r="C782" i="1"/>
  <c r="D782" i="1"/>
  <c r="E782" i="1"/>
  <c r="F782" i="1"/>
  <c r="G782" i="1"/>
  <c r="H782" i="1"/>
  <c r="I782" i="1"/>
  <c r="A783" i="1"/>
  <c r="B783" i="1"/>
  <c r="C783" i="1"/>
  <c r="D783" i="1"/>
  <c r="E783" i="1"/>
  <c r="F783" i="1"/>
  <c r="G783" i="1"/>
  <c r="H783" i="1"/>
  <c r="I783" i="1"/>
  <c r="A784" i="1"/>
  <c r="B784" i="1"/>
  <c r="C784" i="1"/>
  <c r="D784" i="1"/>
  <c r="E784" i="1"/>
  <c r="F784" i="1"/>
  <c r="G784" i="1"/>
  <c r="H784" i="1"/>
  <c r="I784" i="1"/>
  <c r="A785" i="1"/>
  <c r="B785" i="1"/>
  <c r="C785" i="1"/>
  <c r="D785" i="1"/>
  <c r="E785" i="1"/>
  <c r="F785" i="1"/>
  <c r="G785" i="1"/>
  <c r="H785" i="1"/>
  <c r="I785" i="1"/>
  <c r="A786" i="1"/>
  <c r="B786" i="1"/>
  <c r="C786" i="1"/>
  <c r="D786" i="1"/>
  <c r="E786" i="1"/>
  <c r="F786" i="1"/>
  <c r="G786" i="1"/>
  <c r="H786" i="1"/>
  <c r="I786" i="1"/>
  <c r="A787" i="1"/>
  <c r="B787" i="1"/>
  <c r="C787" i="1"/>
  <c r="D787" i="1"/>
  <c r="E787" i="1"/>
  <c r="F787" i="1"/>
  <c r="G787" i="1"/>
  <c r="H787" i="1"/>
  <c r="I787" i="1"/>
  <c r="A788" i="1"/>
  <c r="B788" i="1"/>
  <c r="C788" i="1"/>
  <c r="D788" i="1"/>
  <c r="E788" i="1"/>
  <c r="F788" i="1"/>
  <c r="G788" i="1"/>
  <c r="H788" i="1"/>
  <c r="I788" i="1"/>
  <c r="A789" i="1"/>
  <c r="B789" i="1"/>
  <c r="C789" i="1"/>
  <c r="D789" i="1"/>
  <c r="E789" i="1"/>
  <c r="F789" i="1"/>
  <c r="G789" i="1"/>
  <c r="H789" i="1"/>
  <c r="I789" i="1"/>
  <c r="A790" i="1"/>
  <c r="B790" i="1"/>
  <c r="C790" i="1"/>
  <c r="D790" i="1"/>
  <c r="E790" i="1"/>
  <c r="F790" i="1"/>
  <c r="G790" i="1"/>
  <c r="H790" i="1"/>
  <c r="I790" i="1"/>
  <c r="A791" i="1"/>
  <c r="B791" i="1"/>
  <c r="C791" i="1"/>
  <c r="D791" i="1"/>
  <c r="E791" i="1"/>
  <c r="F791" i="1"/>
  <c r="G791" i="1"/>
  <c r="H791" i="1"/>
  <c r="I791" i="1"/>
  <c r="A792" i="1"/>
  <c r="B792" i="1"/>
  <c r="C792" i="1"/>
  <c r="D792" i="1"/>
  <c r="E792" i="1"/>
  <c r="F792" i="1"/>
  <c r="G792" i="1"/>
  <c r="H792" i="1"/>
  <c r="I792" i="1"/>
  <c r="A793" i="1"/>
  <c r="B793" i="1"/>
  <c r="C793" i="1"/>
  <c r="D793" i="1"/>
  <c r="E793" i="1"/>
  <c r="F793" i="1"/>
  <c r="G793" i="1"/>
  <c r="H793" i="1"/>
  <c r="I793" i="1"/>
  <c r="A794" i="1"/>
  <c r="B794" i="1"/>
  <c r="C794" i="1"/>
  <c r="D794" i="1"/>
  <c r="E794" i="1"/>
  <c r="F794" i="1"/>
  <c r="G794" i="1"/>
  <c r="H794" i="1"/>
  <c r="I794" i="1"/>
  <c r="A795" i="1"/>
  <c r="B795" i="1"/>
  <c r="C795" i="1"/>
  <c r="D795" i="1"/>
  <c r="E795" i="1"/>
  <c r="F795" i="1"/>
  <c r="G795" i="1"/>
  <c r="H795" i="1"/>
  <c r="I795" i="1"/>
  <c r="A796" i="1"/>
  <c r="B796" i="1"/>
  <c r="C796" i="1"/>
  <c r="D796" i="1"/>
  <c r="E796" i="1"/>
  <c r="F796" i="1"/>
  <c r="G796" i="1"/>
  <c r="H796" i="1"/>
  <c r="I796" i="1"/>
  <c r="A797" i="1"/>
  <c r="B797" i="1"/>
  <c r="C797" i="1"/>
  <c r="D797" i="1"/>
  <c r="E797" i="1"/>
  <c r="F797" i="1"/>
  <c r="G797" i="1"/>
  <c r="H797" i="1"/>
  <c r="I797" i="1"/>
  <c r="A798" i="1"/>
  <c r="B798" i="1"/>
  <c r="C798" i="1"/>
  <c r="D798" i="1"/>
  <c r="E798" i="1"/>
  <c r="F798" i="1"/>
  <c r="G798" i="1"/>
  <c r="H798" i="1"/>
  <c r="I798" i="1"/>
  <c r="A799" i="1"/>
  <c r="B799" i="1"/>
  <c r="C799" i="1"/>
  <c r="D799" i="1"/>
  <c r="E799" i="1"/>
  <c r="F799" i="1"/>
  <c r="G799" i="1"/>
  <c r="H799" i="1"/>
  <c r="I799" i="1"/>
  <c r="A800" i="1"/>
  <c r="B800" i="1"/>
  <c r="C800" i="1"/>
  <c r="D800" i="1"/>
  <c r="E800" i="1"/>
  <c r="F800" i="1"/>
  <c r="G800" i="1"/>
  <c r="H800" i="1"/>
  <c r="I800" i="1"/>
  <c r="A801" i="1"/>
  <c r="B801" i="1"/>
  <c r="C801" i="1"/>
  <c r="D801" i="1"/>
  <c r="E801" i="1"/>
  <c r="F801" i="1"/>
  <c r="G801" i="1"/>
  <c r="H801" i="1"/>
  <c r="I801" i="1"/>
  <c r="A802" i="1"/>
  <c r="B802" i="1"/>
  <c r="C802" i="1"/>
  <c r="D802" i="1"/>
  <c r="E802" i="1"/>
  <c r="F802" i="1"/>
  <c r="G802" i="1"/>
  <c r="H802" i="1"/>
  <c r="I802" i="1"/>
  <c r="A803" i="1"/>
  <c r="B803" i="1"/>
  <c r="C803" i="1"/>
  <c r="D803" i="1"/>
  <c r="E803" i="1"/>
  <c r="F803" i="1"/>
  <c r="G803" i="1"/>
  <c r="H803" i="1"/>
  <c r="I803" i="1"/>
  <c r="A804" i="1"/>
  <c r="B804" i="1"/>
  <c r="C804" i="1"/>
  <c r="D804" i="1"/>
  <c r="E804" i="1"/>
  <c r="F804" i="1"/>
  <c r="G804" i="1"/>
  <c r="H804" i="1"/>
  <c r="I804" i="1"/>
  <c r="A805" i="1"/>
  <c r="B805" i="1"/>
  <c r="C805" i="1"/>
  <c r="D805" i="1"/>
  <c r="E805" i="1"/>
  <c r="F805" i="1"/>
  <c r="G805" i="1"/>
  <c r="H805" i="1"/>
  <c r="I805" i="1"/>
  <c r="A806" i="1"/>
  <c r="B806" i="1"/>
  <c r="C806" i="1"/>
  <c r="D806" i="1"/>
  <c r="E806" i="1"/>
  <c r="F806" i="1"/>
  <c r="G806" i="1"/>
  <c r="H806" i="1"/>
  <c r="I806" i="1"/>
  <c r="A807" i="1"/>
  <c r="B807" i="1"/>
  <c r="C807" i="1"/>
  <c r="D807" i="1"/>
  <c r="E807" i="1"/>
  <c r="F807" i="1"/>
  <c r="G807" i="1"/>
  <c r="H807" i="1"/>
  <c r="I807" i="1"/>
  <c r="A808" i="1"/>
  <c r="B808" i="1"/>
  <c r="C808" i="1"/>
  <c r="D808" i="1"/>
  <c r="E808" i="1"/>
  <c r="F808" i="1"/>
  <c r="G808" i="1"/>
  <c r="H808" i="1"/>
  <c r="I808" i="1"/>
  <c r="A809" i="1"/>
  <c r="B809" i="1"/>
  <c r="C809" i="1"/>
  <c r="D809" i="1"/>
  <c r="E809" i="1"/>
  <c r="F809" i="1"/>
  <c r="G809" i="1"/>
  <c r="H809" i="1"/>
  <c r="I809" i="1"/>
  <c r="A810" i="1"/>
  <c r="B810" i="1"/>
  <c r="C810" i="1"/>
  <c r="D810" i="1"/>
  <c r="E810" i="1"/>
  <c r="F810" i="1"/>
  <c r="G810" i="1"/>
  <c r="H810" i="1"/>
  <c r="I810" i="1"/>
  <c r="A811" i="1"/>
  <c r="B811" i="1"/>
  <c r="C811" i="1"/>
  <c r="D811" i="1"/>
  <c r="E811" i="1"/>
  <c r="F811" i="1"/>
  <c r="G811" i="1"/>
  <c r="H811" i="1"/>
  <c r="I811" i="1"/>
  <c r="A812" i="1"/>
  <c r="B812" i="1"/>
  <c r="C812" i="1"/>
  <c r="D812" i="1"/>
  <c r="E812" i="1"/>
  <c r="F812" i="1"/>
  <c r="G812" i="1"/>
  <c r="H812" i="1"/>
  <c r="I812" i="1"/>
  <c r="A813" i="1"/>
  <c r="B813" i="1"/>
  <c r="C813" i="1"/>
  <c r="D813" i="1"/>
  <c r="E813" i="1"/>
  <c r="F813" i="1"/>
  <c r="G813" i="1"/>
  <c r="H813" i="1"/>
  <c r="I813" i="1"/>
  <c r="A814" i="1"/>
  <c r="B814" i="1"/>
  <c r="C814" i="1"/>
  <c r="D814" i="1"/>
  <c r="E814" i="1"/>
  <c r="F814" i="1"/>
  <c r="G814" i="1"/>
  <c r="H814" i="1"/>
  <c r="I814" i="1"/>
  <c r="A815" i="1"/>
  <c r="B815" i="1"/>
  <c r="C815" i="1"/>
  <c r="D815" i="1"/>
  <c r="E815" i="1"/>
  <c r="F815" i="1"/>
  <c r="G815" i="1"/>
  <c r="H815" i="1"/>
  <c r="I815" i="1"/>
  <c r="A816" i="1"/>
  <c r="B816" i="1"/>
  <c r="C816" i="1"/>
  <c r="D816" i="1"/>
  <c r="E816" i="1"/>
  <c r="F816" i="1"/>
  <c r="G816" i="1"/>
  <c r="H816" i="1"/>
  <c r="I816" i="1"/>
  <c r="A817" i="1"/>
  <c r="B817" i="1"/>
  <c r="C817" i="1"/>
  <c r="D817" i="1"/>
  <c r="E817" i="1"/>
  <c r="F817" i="1"/>
  <c r="G817" i="1"/>
  <c r="H817" i="1"/>
  <c r="I817" i="1"/>
  <c r="A818" i="1"/>
  <c r="B818" i="1"/>
  <c r="C818" i="1"/>
  <c r="D818" i="1"/>
  <c r="E818" i="1"/>
  <c r="F818" i="1"/>
  <c r="G818" i="1"/>
  <c r="H818" i="1"/>
  <c r="I818" i="1"/>
  <c r="A819" i="1"/>
  <c r="B819" i="1"/>
  <c r="C819" i="1"/>
  <c r="D819" i="1"/>
  <c r="E819" i="1"/>
  <c r="F819" i="1"/>
  <c r="G819" i="1"/>
  <c r="H819" i="1"/>
  <c r="I819" i="1"/>
  <c r="A820" i="1"/>
  <c r="B820" i="1"/>
  <c r="C820" i="1"/>
  <c r="D820" i="1"/>
  <c r="E820" i="1"/>
  <c r="F820" i="1"/>
  <c r="G820" i="1"/>
  <c r="H820" i="1"/>
  <c r="I820" i="1"/>
  <c r="A821" i="1"/>
  <c r="B821" i="1"/>
  <c r="C821" i="1"/>
  <c r="D821" i="1"/>
  <c r="E821" i="1"/>
  <c r="F821" i="1"/>
  <c r="G821" i="1"/>
  <c r="H821" i="1"/>
  <c r="I821" i="1"/>
  <c r="A822" i="1"/>
  <c r="B822" i="1"/>
  <c r="C822" i="1"/>
  <c r="D822" i="1"/>
  <c r="E822" i="1"/>
  <c r="F822" i="1"/>
  <c r="G822" i="1"/>
  <c r="H822" i="1"/>
  <c r="I822" i="1"/>
  <c r="A823" i="1"/>
  <c r="B823" i="1"/>
  <c r="C823" i="1"/>
  <c r="D823" i="1"/>
  <c r="E823" i="1"/>
  <c r="F823" i="1"/>
  <c r="G823" i="1"/>
  <c r="H823" i="1"/>
  <c r="I823" i="1"/>
  <c r="A824" i="1"/>
  <c r="B824" i="1"/>
  <c r="C824" i="1"/>
  <c r="D824" i="1"/>
  <c r="E824" i="1"/>
  <c r="F824" i="1"/>
  <c r="G824" i="1"/>
  <c r="H824" i="1"/>
  <c r="I824" i="1"/>
  <c r="A825" i="1"/>
  <c r="B825" i="1"/>
  <c r="C825" i="1"/>
  <c r="D825" i="1"/>
  <c r="E825" i="1"/>
  <c r="F825" i="1"/>
  <c r="G825" i="1"/>
  <c r="H825" i="1"/>
  <c r="I825" i="1"/>
  <c r="A826" i="1"/>
  <c r="B826" i="1"/>
  <c r="C826" i="1"/>
  <c r="D826" i="1"/>
  <c r="E826" i="1"/>
  <c r="F826" i="1"/>
  <c r="G826" i="1"/>
  <c r="H826" i="1"/>
  <c r="I826" i="1"/>
  <c r="A827" i="1"/>
  <c r="B827" i="1"/>
  <c r="C827" i="1"/>
  <c r="D827" i="1"/>
  <c r="E827" i="1"/>
  <c r="F827" i="1"/>
  <c r="G827" i="1"/>
  <c r="H827" i="1"/>
  <c r="I827" i="1"/>
  <c r="A828" i="1"/>
  <c r="B828" i="1"/>
  <c r="C828" i="1"/>
  <c r="D828" i="1"/>
  <c r="E828" i="1"/>
  <c r="F828" i="1"/>
  <c r="G828" i="1"/>
  <c r="H828" i="1"/>
  <c r="I828" i="1"/>
  <c r="A829" i="1"/>
  <c r="B829" i="1"/>
  <c r="C829" i="1"/>
  <c r="D829" i="1"/>
  <c r="E829" i="1"/>
  <c r="F829" i="1"/>
  <c r="G829" i="1"/>
  <c r="H829" i="1"/>
  <c r="I829" i="1"/>
  <c r="A830" i="1"/>
  <c r="B830" i="1"/>
  <c r="C830" i="1"/>
  <c r="D830" i="1"/>
  <c r="E830" i="1"/>
  <c r="F830" i="1"/>
  <c r="G830" i="1"/>
  <c r="H830" i="1"/>
  <c r="I830" i="1"/>
  <c r="A831" i="1"/>
  <c r="B831" i="1"/>
  <c r="C831" i="1"/>
  <c r="D831" i="1"/>
  <c r="E831" i="1"/>
  <c r="F831" i="1"/>
  <c r="G831" i="1"/>
  <c r="H831" i="1"/>
  <c r="I831" i="1"/>
  <c r="A832" i="1"/>
  <c r="B832" i="1"/>
  <c r="C832" i="1"/>
  <c r="D832" i="1"/>
  <c r="E832" i="1"/>
  <c r="F832" i="1"/>
  <c r="G832" i="1"/>
  <c r="H832" i="1"/>
  <c r="I832" i="1"/>
  <c r="A833" i="1"/>
  <c r="B833" i="1"/>
  <c r="C833" i="1"/>
  <c r="D833" i="1"/>
  <c r="E833" i="1"/>
  <c r="F833" i="1"/>
  <c r="G833" i="1"/>
  <c r="H833" i="1"/>
  <c r="I833" i="1"/>
  <c r="A834" i="1"/>
  <c r="B834" i="1"/>
  <c r="C834" i="1"/>
  <c r="D834" i="1"/>
  <c r="E834" i="1"/>
  <c r="F834" i="1"/>
  <c r="G834" i="1"/>
  <c r="H834" i="1"/>
  <c r="I834" i="1"/>
  <c r="A835" i="1"/>
  <c r="B835" i="1"/>
  <c r="C835" i="1"/>
  <c r="D835" i="1"/>
  <c r="E835" i="1"/>
  <c r="F835" i="1"/>
  <c r="G835" i="1"/>
  <c r="H835" i="1"/>
  <c r="I835" i="1"/>
  <c r="A836" i="1"/>
  <c r="B836" i="1"/>
  <c r="C836" i="1"/>
  <c r="D836" i="1"/>
  <c r="E836" i="1"/>
  <c r="F836" i="1"/>
  <c r="G836" i="1"/>
  <c r="H836" i="1"/>
  <c r="I836" i="1"/>
  <c r="A837" i="1"/>
  <c r="B837" i="1"/>
  <c r="C837" i="1"/>
  <c r="D837" i="1"/>
  <c r="E837" i="1"/>
  <c r="F837" i="1"/>
  <c r="G837" i="1"/>
  <c r="H837" i="1"/>
  <c r="I837" i="1"/>
  <c r="A838" i="1"/>
  <c r="B838" i="1"/>
  <c r="C838" i="1"/>
  <c r="D838" i="1"/>
  <c r="E838" i="1"/>
  <c r="F838" i="1"/>
  <c r="G838" i="1"/>
  <c r="H838" i="1"/>
  <c r="I838" i="1"/>
  <c r="A839" i="1"/>
  <c r="B839" i="1"/>
  <c r="C839" i="1"/>
  <c r="D839" i="1"/>
  <c r="E839" i="1"/>
  <c r="F839" i="1"/>
  <c r="G839" i="1"/>
  <c r="H839" i="1"/>
  <c r="I839" i="1"/>
  <c r="A840" i="1"/>
  <c r="B840" i="1"/>
  <c r="C840" i="1"/>
  <c r="D840" i="1"/>
  <c r="E840" i="1"/>
  <c r="F840" i="1"/>
  <c r="G840" i="1"/>
  <c r="H840" i="1"/>
  <c r="I840" i="1"/>
  <c r="A841" i="1"/>
  <c r="B841" i="1"/>
  <c r="C841" i="1"/>
  <c r="D841" i="1"/>
  <c r="E841" i="1"/>
  <c r="F841" i="1"/>
  <c r="G841" i="1"/>
  <c r="H841" i="1"/>
  <c r="I841" i="1"/>
  <c r="A842" i="1"/>
  <c r="B842" i="1"/>
  <c r="C842" i="1"/>
  <c r="D842" i="1"/>
  <c r="E842" i="1"/>
  <c r="F842" i="1"/>
  <c r="G842" i="1"/>
  <c r="H842" i="1"/>
  <c r="I842" i="1"/>
  <c r="A843" i="1"/>
  <c r="B843" i="1"/>
  <c r="C843" i="1"/>
  <c r="D843" i="1"/>
  <c r="E843" i="1"/>
  <c r="F843" i="1"/>
  <c r="G843" i="1"/>
  <c r="H843" i="1"/>
  <c r="I843" i="1"/>
  <c r="A844" i="1"/>
  <c r="B844" i="1"/>
  <c r="C844" i="1"/>
  <c r="D844" i="1"/>
  <c r="E844" i="1"/>
  <c r="F844" i="1"/>
  <c r="G844" i="1"/>
  <c r="H844" i="1"/>
  <c r="I844" i="1"/>
  <c r="A845" i="1"/>
  <c r="B845" i="1"/>
  <c r="C845" i="1"/>
  <c r="D845" i="1"/>
  <c r="E845" i="1"/>
  <c r="F845" i="1"/>
  <c r="G845" i="1"/>
  <c r="H845" i="1"/>
  <c r="I845" i="1"/>
  <c r="A846" i="1"/>
  <c r="B846" i="1"/>
  <c r="C846" i="1"/>
  <c r="D846" i="1"/>
  <c r="E846" i="1"/>
  <c r="F846" i="1"/>
  <c r="G846" i="1"/>
  <c r="H846" i="1"/>
  <c r="I846" i="1"/>
  <c r="A847" i="1"/>
  <c r="B847" i="1"/>
  <c r="C847" i="1"/>
  <c r="D847" i="1"/>
  <c r="E847" i="1"/>
  <c r="F847" i="1"/>
  <c r="G847" i="1"/>
  <c r="H847" i="1"/>
  <c r="I847" i="1"/>
  <c r="A848" i="1"/>
  <c r="B848" i="1"/>
  <c r="C848" i="1"/>
  <c r="D848" i="1"/>
  <c r="E848" i="1"/>
  <c r="F848" i="1"/>
  <c r="G848" i="1"/>
  <c r="H848" i="1"/>
  <c r="I848" i="1"/>
  <c r="A849" i="1"/>
  <c r="B849" i="1"/>
  <c r="C849" i="1"/>
  <c r="D849" i="1"/>
  <c r="E849" i="1"/>
  <c r="F849" i="1"/>
  <c r="G849" i="1"/>
  <c r="H849" i="1"/>
  <c r="I849" i="1"/>
  <c r="A850" i="1"/>
  <c r="B850" i="1"/>
  <c r="C850" i="1"/>
  <c r="D850" i="1"/>
  <c r="E850" i="1"/>
  <c r="F850" i="1"/>
  <c r="G850" i="1"/>
  <c r="H850" i="1"/>
  <c r="I850" i="1"/>
  <c r="A851" i="1"/>
  <c r="B851" i="1"/>
  <c r="C851" i="1"/>
  <c r="D851" i="1"/>
  <c r="E851" i="1"/>
  <c r="F851" i="1"/>
  <c r="G851" i="1"/>
  <c r="H851" i="1"/>
  <c r="I851" i="1"/>
  <c r="A852" i="1"/>
  <c r="B852" i="1"/>
  <c r="C852" i="1"/>
  <c r="D852" i="1"/>
  <c r="E852" i="1"/>
  <c r="F852" i="1"/>
  <c r="G852" i="1"/>
  <c r="H852" i="1"/>
  <c r="I852" i="1"/>
  <c r="A853" i="1"/>
  <c r="B853" i="1"/>
  <c r="C853" i="1"/>
  <c r="D853" i="1"/>
  <c r="E853" i="1"/>
  <c r="F853" i="1"/>
  <c r="G853" i="1"/>
  <c r="H853" i="1"/>
  <c r="I853" i="1"/>
  <c r="A854" i="1"/>
  <c r="B854" i="1"/>
  <c r="C854" i="1"/>
  <c r="D854" i="1"/>
  <c r="E854" i="1"/>
  <c r="F854" i="1"/>
  <c r="G854" i="1"/>
  <c r="H854" i="1"/>
  <c r="I854" i="1"/>
  <c r="A855" i="1"/>
  <c r="B855" i="1"/>
  <c r="C855" i="1"/>
  <c r="D855" i="1"/>
  <c r="E855" i="1"/>
  <c r="F855" i="1"/>
  <c r="G855" i="1"/>
  <c r="H855" i="1"/>
  <c r="I855" i="1"/>
  <c r="A856" i="1"/>
  <c r="B856" i="1"/>
  <c r="C856" i="1"/>
  <c r="D856" i="1"/>
  <c r="E856" i="1"/>
  <c r="F856" i="1"/>
  <c r="G856" i="1"/>
  <c r="H856" i="1"/>
  <c r="I856" i="1"/>
  <c r="A857" i="1"/>
  <c r="B857" i="1"/>
  <c r="C857" i="1"/>
  <c r="D857" i="1"/>
  <c r="E857" i="1"/>
  <c r="F857" i="1"/>
  <c r="G857" i="1"/>
  <c r="H857" i="1"/>
  <c r="I857" i="1"/>
  <c r="A858" i="1"/>
  <c r="B858" i="1"/>
  <c r="C858" i="1"/>
  <c r="D858" i="1"/>
  <c r="E858" i="1"/>
  <c r="F858" i="1"/>
  <c r="G858" i="1"/>
  <c r="H858" i="1"/>
  <c r="I858" i="1"/>
  <c r="A859" i="1"/>
  <c r="B859" i="1"/>
  <c r="C859" i="1"/>
  <c r="D859" i="1"/>
  <c r="E859" i="1"/>
  <c r="F859" i="1"/>
  <c r="G859" i="1"/>
  <c r="H859" i="1"/>
  <c r="I859" i="1"/>
  <c r="A860" i="1"/>
  <c r="B860" i="1"/>
  <c r="C860" i="1"/>
  <c r="D860" i="1"/>
  <c r="E860" i="1"/>
  <c r="F860" i="1"/>
  <c r="G860" i="1"/>
  <c r="H860" i="1"/>
  <c r="I860" i="1"/>
  <c r="A861" i="1"/>
  <c r="B861" i="1"/>
  <c r="C861" i="1"/>
  <c r="D861" i="1"/>
  <c r="E861" i="1"/>
  <c r="F861" i="1"/>
  <c r="G861" i="1"/>
  <c r="H861" i="1"/>
  <c r="I861" i="1"/>
  <c r="A862" i="1"/>
  <c r="B862" i="1"/>
  <c r="C862" i="1"/>
  <c r="D862" i="1"/>
  <c r="E862" i="1"/>
  <c r="F862" i="1"/>
  <c r="G862" i="1"/>
  <c r="H862" i="1"/>
  <c r="I862" i="1"/>
  <c r="A863" i="1"/>
  <c r="B863" i="1"/>
  <c r="C863" i="1"/>
  <c r="D863" i="1"/>
  <c r="E863" i="1"/>
  <c r="F863" i="1"/>
  <c r="G863" i="1"/>
  <c r="H863" i="1"/>
  <c r="I863" i="1"/>
  <c r="A864" i="1"/>
  <c r="B864" i="1"/>
  <c r="C864" i="1"/>
  <c r="D864" i="1"/>
  <c r="E864" i="1"/>
  <c r="F864" i="1"/>
  <c r="G864" i="1"/>
  <c r="H864" i="1"/>
  <c r="I864" i="1"/>
  <c r="A865" i="1"/>
  <c r="B865" i="1"/>
  <c r="C865" i="1"/>
  <c r="D865" i="1"/>
  <c r="E865" i="1"/>
  <c r="F865" i="1"/>
  <c r="G865" i="1"/>
  <c r="H865" i="1"/>
  <c r="I865" i="1"/>
  <c r="A866" i="1"/>
  <c r="B866" i="1"/>
  <c r="C866" i="1"/>
  <c r="D866" i="1"/>
  <c r="E866" i="1"/>
  <c r="F866" i="1"/>
  <c r="G866" i="1"/>
  <c r="H866" i="1"/>
  <c r="I866" i="1"/>
  <c r="A867" i="1"/>
  <c r="B867" i="1"/>
  <c r="C867" i="1"/>
  <c r="D867" i="1"/>
  <c r="E867" i="1"/>
  <c r="F867" i="1"/>
  <c r="G867" i="1"/>
  <c r="H867" i="1"/>
  <c r="I867" i="1"/>
  <c r="A868" i="1"/>
  <c r="B868" i="1"/>
  <c r="C868" i="1"/>
  <c r="D868" i="1"/>
  <c r="E868" i="1"/>
  <c r="F868" i="1"/>
  <c r="G868" i="1"/>
  <c r="H868" i="1"/>
  <c r="I868" i="1"/>
  <c r="A869" i="1"/>
  <c r="B869" i="1"/>
  <c r="C869" i="1"/>
  <c r="D869" i="1"/>
  <c r="E869" i="1"/>
  <c r="F869" i="1"/>
  <c r="G869" i="1"/>
  <c r="H869" i="1"/>
  <c r="I869" i="1"/>
  <c r="A870" i="1"/>
  <c r="B870" i="1"/>
  <c r="C870" i="1"/>
  <c r="D870" i="1"/>
  <c r="E870" i="1"/>
  <c r="F870" i="1"/>
  <c r="G870" i="1"/>
  <c r="H870" i="1"/>
  <c r="I870" i="1"/>
  <c r="A871" i="1"/>
  <c r="B871" i="1"/>
  <c r="C871" i="1"/>
  <c r="D871" i="1"/>
  <c r="E871" i="1"/>
  <c r="F871" i="1"/>
  <c r="G871" i="1"/>
  <c r="H871" i="1"/>
  <c r="I871" i="1"/>
  <c r="A872" i="1"/>
  <c r="B872" i="1"/>
  <c r="C872" i="1"/>
  <c r="D872" i="1"/>
  <c r="E872" i="1"/>
  <c r="F872" i="1"/>
  <c r="G872" i="1"/>
  <c r="H872" i="1"/>
  <c r="I872" i="1"/>
  <c r="A873" i="1"/>
  <c r="B873" i="1"/>
  <c r="C873" i="1"/>
  <c r="D873" i="1"/>
  <c r="E873" i="1"/>
  <c r="F873" i="1"/>
  <c r="G873" i="1"/>
  <c r="H873" i="1"/>
  <c r="I873" i="1"/>
  <c r="A874" i="1"/>
  <c r="B874" i="1"/>
  <c r="C874" i="1"/>
  <c r="D874" i="1"/>
  <c r="E874" i="1"/>
  <c r="F874" i="1"/>
  <c r="G874" i="1"/>
  <c r="H874" i="1"/>
  <c r="I874" i="1"/>
  <c r="A875" i="1"/>
  <c r="B875" i="1"/>
  <c r="C875" i="1"/>
  <c r="D875" i="1"/>
  <c r="E875" i="1"/>
  <c r="F875" i="1"/>
  <c r="G875" i="1"/>
  <c r="H875" i="1"/>
  <c r="I875" i="1"/>
  <c r="A876" i="1"/>
  <c r="B876" i="1"/>
  <c r="C876" i="1"/>
  <c r="D876" i="1"/>
  <c r="E876" i="1"/>
  <c r="F876" i="1"/>
  <c r="G876" i="1"/>
  <c r="H876" i="1"/>
  <c r="I876" i="1"/>
  <c r="A877" i="1"/>
  <c r="B877" i="1"/>
  <c r="C877" i="1"/>
  <c r="D877" i="1"/>
  <c r="E877" i="1"/>
  <c r="F877" i="1"/>
  <c r="G877" i="1"/>
  <c r="H877" i="1"/>
  <c r="I877" i="1"/>
  <c r="A878" i="1"/>
  <c r="B878" i="1"/>
  <c r="C878" i="1"/>
  <c r="D878" i="1"/>
  <c r="E878" i="1"/>
  <c r="F878" i="1"/>
  <c r="G878" i="1"/>
  <c r="H878" i="1"/>
  <c r="I878" i="1"/>
  <c r="A879" i="1"/>
  <c r="B879" i="1"/>
  <c r="C879" i="1"/>
  <c r="D879" i="1"/>
  <c r="E879" i="1"/>
  <c r="F879" i="1"/>
  <c r="G879" i="1"/>
  <c r="H879" i="1"/>
  <c r="I879" i="1"/>
  <c r="A880" i="1"/>
  <c r="B880" i="1"/>
  <c r="C880" i="1"/>
  <c r="D880" i="1"/>
  <c r="E880" i="1"/>
  <c r="F880" i="1"/>
  <c r="G880" i="1"/>
  <c r="H880" i="1"/>
  <c r="I880" i="1"/>
  <c r="A881" i="1"/>
  <c r="B881" i="1"/>
  <c r="C881" i="1"/>
  <c r="D881" i="1"/>
  <c r="E881" i="1"/>
  <c r="F881" i="1"/>
  <c r="G881" i="1"/>
  <c r="H881" i="1"/>
  <c r="I881" i="1"/>
  <c r="A882" i="1"/>
  <c r="B882" i="1"/>
  <c r="C882" i="1"/>
  <c r="D882" i="1"/>
  <c r="E882" i="1"/>
  <c r="F882" i="1"/>
  <c r="G882" i="1"/>
  <c r="H882" i="1"/>
  <c r="I882" i="1"/>
  <c r="A883" i="1"/>
  <c r="B883" i="1"/>
  <c r="C883" i="1"/>
  <c r="D883" i="1"/>
  <c r="E883" i="1"/>
  <c r="F883" i="1"/>
  <c r="G883" i="1"/>
  <c r="H883" i="1"/>
  <c r="I883" i="1"/>
  <c r="A884" i="1"/>
  <c r="B884" i="1"/>
  <c r="C884" i="1"/>
  <c r="D884" i="1"/>
  <c r="E884" i="1"/>
  <c r="F884" i="1"/>
  <c r="G884" i="1"/>
  <c r="H884" i="1"/>
  <c r="I884" i="1"/>
  <c r="A885" i="1"/>
  <c r="B885" i="1"/>
  <c r="C885" i="1"/>
  <c r="D885" i="1"/>
  <c r="E885" i="1"/>
  <c r="F885" i="1"/>
  <c r="G885" i="1"/>
  <c r="H885" i="1"/>
  <c r="I885" i="1"/>
  <c r="A886" i="1"/>
  <c r="B886" i="1"/>
  <c r="C886" i="1"/>
  <c r="D886" i="1"/>
  <c r="E886" i="1"/>
  <c r="F886" i="1"/>
  <c r="G886" i="1"/>
  <c r="H886" i="1"/>
  <c r="I886" i="1"/>
  <c r="A887" i="1"/>
  <c r="B887" i="1"/>
  <c r="C887" i="1"/>
  <c r="D887" i="1"/>
  <c r="E887" i="1"/>
  <c r="F887" i="1"/>
  <c r="G887" i="1"/>
  <c r="H887" i="1"/>
  <c r="I887" i="1"/>
  <c r="A888" i="1"/>
  <c r="B888" i="1"/>
  <c r="C888" i="1"/>
  <c r="D888" i="1"/>
  <c r="E888" i="1"/>
  <c r="F888" i="1"/>
  <c r="G888" i="1"/>
  <c r="H888" i="1"/>
  <c r="I888" i="1"/>
  <c r="A889" i="1"/>
  <c r="B889" i="1"/>
  <c r="C889" i="1"/>
  <c r="D889" i="1"/>
  <c r="E889" i="1"/>
  <c r="F889" i="1"/>
  <c r="G889" i="1"/>
  <c r="H889" i="1"/>
  <c r="I889" i="1"/>
  <c r="A890" i="1"/>
  <c r="B890" i="1"/>
  <c r="C890" i="1"/>
  <c r="D890" i="1"/>
  <c r="E890" i="1"/>
  <c r="F890" i="1"/>
  <c r="G890" i="1"/>
  <c r="H890" i="1"/>
  <c r="I890" i="1"/>
  <c r="A891" i="1"/>
  <c r="B891" i="1"/>
  <c r="C891" i="1"/>
  <c r="D891" i="1"/>
  <c r="E891" i="1"/>
  <c r="F891" i="1"/>
  <c r="G891" i="1"/>
  <c r="H891" i="1"/>
  <c r="I891" i="1"/>
  <c r="A892" i="1"/>
  <c r="B892" i="1"/>
  <c r="C892" i="1"/>
  <c r="D892" i="1"/>
  <c r="E892" i="1"/>
  <c r="F892" i="1"/>
  <c r="G892" i="1"/>
  <c r="H892" i="1"/>
  <c r="I892" i="1"/>
  <c r="A893" i="1"/>
  <c r="B893" i="1"/>
  <c r="C893" i="1"/>
  <c r="D893" i="1"/>
  <c r="E893" i="1"/>
  <c r="F893" i="1"/>
  <c r="G893" i="1"/>
  <c r="H893" i="1"/>
  <c r="I893" i="1"/>
  <c r="A894" i="1"/>
  <c r="B894" i="1"/>
  <c r="C894" i="1"/>
  <c r="D894" i="1"/>
  <c r="E894" i="1"/>
  <c r="F894" i="1"/>
  <c r="G894" i="1"/>
  <c r="H894" i="1"/>
  <c r="I894" i="1"/>
  <c r="A895" i="1"/>
  <c r="B895" i="1"/>
  <c r="C895" i="1"/>
  <c r="D895" i="1"/>
  <c r="E895" i="1"/>
  <c r="F895" i="1"/>
  <c r="G895" i="1"/>
  <c r="H895" i="1"/>
  <c r="I895" i="1"/>
  <c r="A896" i="1"/>
  <c r="B896" i="1"/>
  <c r="C896" i="1"/>
  <c r="D896" i="1"/>
  <c r="E896" i="1"/>
  <c r="F896" i="1"/>
  <c r="G896" i="1"/>
  <c r="H896" i="1"/>
  <c r="I896" i="1"/>
  <c r="A897" i="1"/>
  <c r="B897" i="1"/>
  <c r="C897" i="1"/>
  <c r="D897" i="1"/>
  <c r="E897" i="1"/>
  <c r="F897" i="1"/>
  <c r="G897" i="1"/>
  <c r="H897" i="1"/>
  <c r="I897" i="1"/>
  <c r="A898" i="1"/>
  <c r="B898" i="1"/>
  <c r="C898" i="1"/>
  <c r="D898" i="1"/>
  <c r="E898" i="1"/>
  <c r="F898" i="1"/>
  <c r="G898" i="1"/>
  <c r="H898" i="1"/>
  <c r="I898" i="1"/>
  <c r="A899" i="1"/>
  <c r="B899" i="1"/>
  <c r="C899" i="1"/>
  <c r="D899" i="1"/>
  <c r="E899" i="1"/>
  <c r="F899" i="1"/>
  <c r="G899" i="1"/>
  <c r="H899" i="1"/>
  <c r="I899" i="1"/>
  <c r="A900" i="1"/>
  <c r="B900" i="1"/>
  <c r="C900" i="1"/>
  <c r="D900" i="1"/>
  <c r="E900" i="1"/>
  <c r="F900" i="1"/>
  <c r="G900" i="1"/>
  <c r="H900" i="1"/>
  <c r="I900" i="1"/>
  <c r="A901" i="1"/>
  <c r="B901" i="1"/>
  <c r="C901" i="1"/>
  <c r="D901" i="1"/>
  <c r="E901" i="1"/>
  <c r="F901" i="1"/>
  <c r="G901" i="1"/>
  <c r="H901" i="1"/>
  <c r="I901" i="1"/>
  <c r="A902" i="1"/>
  <c r="B902" i="1"/>
  <c r="C902" i="1"/>
  <c r="D902" i="1"/>
  <c r="E902" i="1"/>
  <c r="F902" i="1"/>
  <c r="G902" i="1"/>
  <c r="H902" i="1"/>
  <c r="I902" i="1"/>
  <c r="A903" i="1"/>
  <c r="B903" i="1"/>
  <c r="C903" i="1"/>
  <c r="D903" i="1"/>
  <c r="E903" i="1"/>
  <c r="F903" i="1"/>
  <c r="G903" i="1"/>
  <c r="H903" i="1"/>
  <c r="I903" i="1"/>
  <c r="A904" i="1"/>
  <c r="B904" i="1"/>
  <c r="C904" i="1"/>
  <c r="D904" i="1"/>
  <c r="E904" i="1"/>
  <c r="F904" i="1"/>
  <c r="G904" i="1"/>
  <c r="H904" i="1"/>
  <c r="I904" i="1"/>
  <c r="A905" i="1"/>
  <c r="B905" i="1"/>
  <c r="C905" i="1"/>
  <c r="D905" i="1"/>
  <c r="E905" i="1"/>
  <c r="F905" i="1"/>
  <c r="G905" i="1"/>
  <c r="H905" i="1"/>
  <c r="I905" i="1"/>
  <c r="A906" i="1"/>
  <c r="B906" i="1"/>
  <c r="C906" i="1"/>
  <c r="D906" i="1"/>
  <c r="E906" i="1"/>
  <c r="F906" i="1"/>
  <c r="G906" i="1"/>
  <c r="H906" i="1"/>
  <c r="I906" i="1"/>
  <c r="A907" i="1"/>
  <c r="B907" i="1"/>
  <c r="C907" i="1"/>
  <c r="D907" i="1"/>
  <c r="E907" i="1"/>
  <c r="F907" i="1"/>
  <c r="G907" i="1"/>
  <c r="H907" i="1"/>
  <c r="I907" i="1"/>
  <c r="A908" i="1"/>
  <c r="B908" i="1"/>
  <c r="C908" i="1"/>
  <c r="D908" i="1"/>
  <c r="E908" i="1"/>
  <c r="F908" i="1"/>
  <c r="G908" i="1"/>
  <c r="H908" i="1"/>
  <c r="I908" i="1"/>
  <c r="A909" i="1"/>
  <c r="B909" i="1"/>
  <c r="C909" i="1"/>
  <c r="D909" i="1"/>
  <c r="E909" i="1"/>
  <c r="F909" i="1"/>
  <c r="G909" i="1"/>
  <c r="H909" i="1"/>
  <c r="I909" i="1"/>
  <c r="A910" i="1"/>
  <c r="B910" i="1"/>
  <c r="C910" i="1"/>
  <c r="D910" i="1"/>
  <c r="E910" i="1"/>
  <c r="F910" i="1"/>
  <c r="G910" i="1"/>
  <c r="H910" i="1"/>
  <c r="I910" i="1"/>
  <c r="A911" i="1"/>
  <c r="B911" i="1"/>
  <c r="C911" i="1"/>
  <c r="D911" i="1"/>
  <c r="E911" i="1"/>
  <c r="F911" i="1"/>
  <c r="G911" i="1"/>
  <c r="H911" i="1"/>
  <c r="I911" i="1"/>
  <c r="A912" i="1"/>
  <c r="B912" i="1"/>
  <c r="C912" i="1"/>
  <c r="D912" i="1"/>
  <c r="E912" i="1"/>
  <c r="F912" i="1"/>
  <c r="G912" i="1"/>
  <c r="H912" i="1"/>
  <c r="I912" i="1"/>
  <c r="A913" i="1"/>
  <c r="B913" i="1"/>
  <c r="C913" i="1"/>
  <c r="D913" i="1"/>
  <c r="E913" i="1"/>
  <c r="F913" i="1"/>
  <c r="G913" i="1"/>
  <c r="H913" i="1"/>
  <c r="I913" i="1"/>
  <c r="A914" i="1"/>
  <c r="B914" i="1"/>
  <c r="C914" i="1"/>
  <c r="D914" i="1"/>
  <c r="E914" i="1"/>
  <c r="F914" i="1"/>
  <c r="G914" i="1"/>
  <c r="H914" i="1"/>
  <c r="I914" i="1"/>
  <c r="A915" i="1"/>
  <c r="B915" i="1"/>
  <c r="C915" i="1"/>
  <c r="D915" i="1"/>
  <c r="E915" i="1"/>
  <c r="F915" i="1"/>
  <c r="G915" i="1"/>
  <c r="H915" i="1"/>
  <c r="I915" i="1"/>
  <c r="A916" i="1"/>
  <c r="B916" i="1"/>
  <c r="C916" i="1"/>
  <c r="D916" i="1"/>
  <c r="E916" i="1"/>
  <c r="F916" i="1"/>
  <c r="G916" i="1"/>
  <c r="H916" i="1"/>
  <c r="I916" i="1"/>
  <c r="A917" i="1"/>
  <c r="B917" i="1"/>
  <c r="C917" i="1"/>
  <c r="D917" i="1"/>
  <c r="E917" i="1"/>
  <c r="F917" i="1"/>
  <c r="G917" i="1"/>
  <c r="H917" i="1"/>
  <c r="I917" i="1"/>
  <c r="A918" i="1"/>
  <c r="B918" i="1"/>
  <c r="C918" i="1"/>
  <c r="D918" i="1"/>
  <c r="E918" i="1"/>
  <c r="F918" i="1"/>
  <c r="G918" i="1"/>
  <c r="H918" i="1"/>
  <c r="I918" i="1"/>
  <c r="A919" i="1"/>
  <c r="B919" i="1"/>
  <c r="C919" i="1"/>
  <c r="D919" i="1"/>
  <c r="E919" i="1"/>
  <c r="F919" i="1"/>
  <c r="G919" i="1"/>
  <c r="H919" i="1"/>
  <c r="I919" i="1"/>
  <c r="A920" i="1"/>
  <c r="B920" i="1"/>
  <c r="C920" i="1"/>
  <c r="D920" i="1"/>
  <c r="E920" i="1"/>
  <c r="F920" i="1"/>
  <c r="G920" i="1"/>
  <c r="H920" i="1"/>
  <c r="I920" i="1"/>
  <c r="A921" i="1"/>
  <c r="B921" i="1"/>
  <c r="C921" i="1"/>
  <c r="D921" i="1"/>
  <c r="E921" i="1"/>
  <c r="F921" i="1"/>
  <c r="G921" i="1"/>
  <c r="H921" i="1"/>
  <c r="I921" i="1"/>
  <c r="A922" i="1"/>
  <c r="B922" i="1"/>
  <c r="C922" i="1"/>
  <c r="D922" i="1"/>
  <c r="E922" i="1"/>
  <c r="F922" i="1"/>
  <c r="G922" i="1"/>
  <c r="H922" i="1"/>
  <c r="I922" i="1"/>
  <c r="A923" i="1"/>
  <c r="B923" i="1"/>
  <c r="C923" i="1"/>
  <c r="D923" i="1"/>
  <c r="E923" i="1"/>
  <c r="F923" i="1"/>
  <c r="G923" i="1"/>
  <c r="H923" i="1"/>
  <c r="I923" i="1"/>
  <c r="A924" i="1"/>
  <c r="B924" i="1"/>
  <c r="C924" i="1"/>
  <c r="D924" i="1"/>
  <c r="E924" i="1"/>
  <c r="F924" i="1"/>
  <c r="G924" i="1"/>
  <c r="H924" i="1"/>
  <c r="I924" i="1"/>
  <c r="A925" i="1"/>
  <c r="B925" i="1"/>
  <c r="C925" i="1"/>
  <c r="D925" i="1"/>
  <c r="E925" i="1"/>
  <c r="F925" i="1"/>
  <c r="G925" i="1"/>
  <c r="H925" i="1"/>
  <c r="I925" i="1"/>
  <c r="A926" i="1"/>
  <c r="B926" i="1"/>
  <c r="C926" i="1"/>
  <c r="D926" i="1"/>
  <c r="E926" i="1"/>
  <c r="F926" i="1"/>
  <c r="G926" i="1"/>
  <c r="H926" i="1"/>
  <c r="I926" i="1"/>
  <c r="A927" i="1"/>
  <c r="B927" i="1"/>
  <c r="C927" i="1"/>
  <c r="D927" i="1"/>
  <c r="E927" i="1"/>
  <c r="F927" i="1"/>
  <c r="G927" i="1"/>
  <c r="H927" i="1"/>
  <c r="I927" i="1"/>
  <c r="A928" i="1"/>
  <c r="B928" i="1"/>
  <c r="C928" i="1"/>
  <c r="D928" i="1"/>
  <c r="E928" i="1"/>
  <c r="F928" i="1"/>
  <c r="G928" i="1"/>
  <c r="H928" i="1"/>
  <c r="I928" i="1"/>
  <c r="A929" i="1"/>
  <c r="B929" i="1"/>
  <c r="C929" i="1"/>
  <c r="D929" i="1"/>
  <c r="E929" i="1"/>
  <c r="F929" i="1"/>
  <c r="G929" i="1"/>
  <c r="H929" i="1"/>
  <c r="I929" i="1"/>
  <c r="A930" i="1"/>
  <c r="B930" i="1"/>
  <c r="C930" i="1"/>
  <c r="D930" i="1"/>
  <c r="E930" i="1"/>
  <c r="F930" i="1"/>
  <c r="G930" i="1"/>
  <c r="H930" i="1"/>
  <c r="I930" i="1"/>
  <c r="A931" i="1"/>
  <c r="B931" i="1"/>
  <c r="C931" i="1"/>
  <c r="D931" i="1"/>
  <c r="E931" i="1"/>
  <c r="F931" i="1"/>
  <c r="G931" i="1"/>
  <c r="H931" i="1"/>
  <c r="I931" i="1"/>
  <c r="A932" i="1"/>
  <c r="B932" i="1"/>
  <c r="C932" i="1"/>
  <c r="D932" i="1"/>
  <c r="E932" i="1"/>
  <c r="F932" i="1"/>
  <c r="G932" i="1"/>
  <c r="H932" i="1"/>
  <c r="I932" i="1"/>
  <c r="A933" i="1"/>
  <c r="B933" i="1"/>
  <c r="C933" i="1"/>
  <c r="D933" i="1"/>
  <c r="E933" i="1"/>
  <c r="F933" i="1"/>
  <c r="G933" i="1"/>
  <c r="H933" i="1"/>
  <c r="I933" i="1"/>
  <c r="A934" i="1"/>
  <c r="B934" i="1"/>
  <c r="C934" i="1"/>
  <c r="D934" i="1"/>
  <c r="E934" i="1"/>
  <c r="F934" i="1"/>
  <c r="G934" i="1"/>
  <c r="H934" i="1"/>
  <c r="I934" i="1"/>
  <c r="A935" i="1"/>
  <c r="B935" i="1"/>
  <c r="C935" i="1"/>
  <c r="D935" i="1"/>
  <c r="E935" i="1"/>
  <c r="F935" i="1"/>
  <c r="G935" i="1"/>
  <c r="H935" i="1"/>
  <c r="I935" i="1"/>
  <c r="A936" i="1"/>
  <c r="B936" i="1"/>
  <c r="C936" i="1"/>
  <c r="D936" i="1"/>
  <c r="E936" i="1"/>
  <c r="F936" i="1"/>
  <c r="G936" i="1"/>
  <c r="H936" i="1"/>
  <c r="I936" i="1"/>
  <c r="A937" i="1"/>
  <c r="B937" i="1"/>
  <c r="C937" i="1"/>
  <c r="D937" i="1"/>
  <c r="E937" i="1"/>
  <c r="F937" i="1"/>
  <c r="G937" i="1"/>
  <c r="H937" i="1"/>
  <c r="I937" i="1"/>
  <c r="A938" i="1"/>
  <c r="B938" i="1"/>
  <c r="C938" i="1"/>
  <c r="D938" i="1"/>
  <c r="E938" i="1"/>
  <c r="F938" i="1"/>
  <c r="G938" i="1"/>
  <c r="H938" i="1"/>
  <c r="I938" i="1"/>
  <c r="A939" i="1"/>
  <c r="B939" i="1"/>
  <c r="C939" i="1"/>
  <c r="D939" i="1"/>
  <c r="E939" i="1"/>
  <c r="F939" i="1"/>
  <c r="G939" i="1"/>
  <c r="H939" i="1"/>
  <c r="I939" i="1"/>
  <c r="A940" i="1"/>
  <c r="B940" i="1"/>
  <c r="C940" i="1"/>
  <c r="D940" i="1"/>
  <c r="E940" i="1"/>
  <c r="F940" i="1"/>
  <c r="G940" i="1"/>
  <c r="H940" i="1"/>
  <c r="I940" i="1"/>
  <c r="A941" i="1"/>
  <c r="B941" i="1"/>
  <c r="C941" i="1"/>
  <c r="D941" i="1"/>
  <c r="E941" i="1"/>
  <c r="F941" i="1"/>
  <c r="G941" i="1"/>
  <c r="H941" i="1"/>
  <c r="I941" i="1"/>
  <c r="A942" i="1"/>
  <c r="B942" i="1"/>
  <c r="C942" i="1"/>
  <c r="D942" i="1"/>
  <c r="E942" i="1"/>
  <c r="F942" i="1"/>
  <c r="G942" i="1"/>
  <c r="H942" i="1"/>
  <c r="I942" i="1"/>
  <c r="A943" i="1"/>
  <c r="B943" i="1"/>
  <c r="C943" i="1"/>
  <c r="D943" i="1"/>
  <c r="E943" i="1"/>
  <c r="F943" i="1"/>
  <c r="G943" i="1"/>
  <c r="H943" i="1"/>
  <c r="I943" i="1"/>
  <c r="A944" i="1"/>
  <c r="B944" i="1"/>
  <c r="C944" i="1"/>
  <c r="D944" i="1"/>
  <c r="E944" i="1"/>
  <c r="F944" i="1"/>
  <c r="G944" i="1"/>
  <c r="H944" i="1"/>
  <c r="I944" i="1"/>
  <c r="A945" i="1"/>
  <c r="B945" i="1"/>
  <c r="C945" i="1"/>
  <c r="D945" i="1"/>
  <c r="E945" i="1"/>
  <c r="F945" i="1"/>
  <c r="G945" i="1"/>
  <c r="H945" i="1"/>
  <c r="I945" i="1"/>
  <c r="A946" i="1"/>
  <c r="B946" i="1"/>
  <c r="C946" i="1"/>
  <c r="D946" i="1"/>
  <c r="E946" i="1"/>
  <c r="F946" i="1"/>
  <c r="G946" i="1"/>
  <c r="H946" i="1"/>
  <c r="I946" i="1"/>
  <c r="A947" i="1"/>
  <c r="B947" i="1"/>
  <c r="C947" i="1"/>
  <c r="D947" i="1"/>
  <c r="E947" i="1"/>
  <c r="F947" i="1"/>
  <c r="G947" i="1"/>
  <c r="H947" i="1"/>
  <c r="I947" i="1"/>
  <c r="A948" i="1"/>
  <c r="B948" i="1"/>
  <c r="C948" i="1"/>
  <c r="D948" i="1"/>
  <c r="E948" i="1"/>
  <c r="F948" i="1"/>
  <c r="G948" i="1"/>
  <c r="H948" i="1"/>
  <c r="I948" i="1"/>
  <c r="A949" i="1"/>
  <c r="B949" i="1"/>
  <c r="C949" i="1"/>
  <c r="D949" i="1"/>
  <c r="E949" i="1"/>
  <c r="F949" i="1"/>
  <c r="G949" i="1"/>
  <c r="H949" i="1"/>
  <c r="I949" i="1"/>
  <c r="A950" i="1"/>
  <c r="B950" i="1"/>
  <c r="C950" i="1"/>
  <c r="D950" i="1"/>
  <c r="E950" i="1"/>
  <c r="F950" i="1"/>
  <c r="G950" i="1"/>
  <c r="H950" i="1"/>
  <c r="I950" i="1"/>
  <c r="A951" i="1"/>
  <c r="B951" i="1"/>
  <c r="C951" i="1"/>
  <c r="D951" i="1"/>
  <c r="E951" i="1"/>
  <c r="F951" i="1"/>
  <c r="G951" i="1"/>
  <c r="H951" i="1"/>
  <c r="I951" i="1"/>
  <c r="A952" i="1"/>
  <c r="B952" i="1"/>
  <c r="C952" i="1"/>
  <c r="D952" i="1"/>
  <c r="E952" i="1"/>
  <c r="F952" i="1"/>
  <c r="G952" i="1"/>
  <c r="H952" i="1"/>
  <c r="I952" i="1"/>
  <c r="A953" i="1"/>
  <c r="B953" i="1"/>
  <c r="C953" i="1"/>
  <c r="D953" i="1"/>
  <c r="E953" i="1"/>
  <c r="F953" i="1"/>
  <c r="G953" i="1"/>
  <c r="H953" i="1"/>
  <c r="I953" i="1"/>
  <c r="A954" i="1"/>
  <c r="B954" i="1"/>
  <c r="C954" i="1"/>
  <c r="D954" i="1"/>
  <c r="E954" i="1"/>
  <c r="F954" i="1"/>
  <c r="G954" i="1"/>
  <c r="H954" i="1"/>
  <c r="I954" i="1"/>
  <c r="A955" i="1"/>
  <c r="B955" i="1"/>
  <c r="C955" i="1"/>
  <c r="D955" i="1"/>
  <c r="E955" i="1"/>
  <c r="F955" i="1"/>
  <c r="G955" i="1"/>
  <c r="H955" i="1"/>
  <c r="I955" i="1"/>
  <c r="A956" i="1"/>
  <c r="B956" i="1"/>
  <c r="C956" i="1"/>
  <c r="D956" i="1"/>
  <c r="E956" i="1"/>
  <c r="F956" i="1"/>
  <c r="G956" i="1"/>
  <c r="H956" i="1"/>
  <c r="I956" i="1"/>
  <c r="A957" i="1"/>
  <c r="B957" i="1"/>
  <c r="C957" i="1"/>
  <c r="D957" i="1"/>
  <c r="E957" i="1"/>
  <c r="F957" i="1"/>
  <c r="G957" i="1"/>
  <c r="H957" i="1"/>
  <c r="I957" i="1"/>
  <c r="A958" i="1"/>
  <c r="B958" i="1"/>
  <c r="C958" i="1"/>
  <c r="D958" i="1"/>
  <c r="E958" i="1"/>
  <c r="F958" i="1"/>
  <c r="G958" i="1"/>
  <c r="H958" i="1"/>
  <c r="I958" i="1"/>
  <c r="A959" i="1"/>
  <c r="B959" i="1"/>
  <c r="C959" i="1"/>
  <c r="D959" i="1"/>
  <c r="E959" i="1"/>
  <c r="F959" i="1"/>
  <c r="G959" i="1"/>
  <c r="H959" i="1"/>
  <c r="I959" i="1"/>
  <c r="A960" i="1"/>
  <c r="B960" i="1"/>
  <c r="C960" i="1"/>
  <c r="D960" i="1"/>
  <c r="E960" i="1"/>
  <c r="F960" i="1"/>
  <c r="G960" i="1"/>
  <c r="H960" i="1"/>
  <c r="I960" i="1"/>
  <c r="A961" i="1"/>
  <c r="B961" i="1"/>
  <c r="C961" i="1"/>
  <c r="D961" i="1"/>
  <c r="E961" i="1"/>
  <c r="F961" i="1"/>
  <c r="G961" i="1"/>
  <c r="H961" i="1"/>
  <c r="I961" i="1"/>
  <c r="A962" i="1"/>
  <c r="B962" i="1"/>
  <c r="C962" i="1"/>
  <c r="D962" i="1"/>
  <c r="E962" i="1"/>
  <c r="F962" i="1"/>
  <c r="G962" i="1"/>
  <c r="H962" i="1"/>
  <c r="I962" i="1"/>
  <c r="A963" i="1"/>
  <c r="B963" i="1"/>
  <c r="C963" i="1"/>
  <c r="D963" i="1"/>
  <c r="E963" i="1"/>
  <c r="F963" i="1"/>
  <c r="G963" i="1"/>
  <c r="H963" i="1"/>
  <c r="I963" i="1"/>
  <c r="A964" i="1"/>
  <c r="B964" i="1"/>
  <c r="C964" i="1"/>
  <c r="D964" i="1"/>
  <c r="E964" i="1"/>
  <c r="F964" i="1"/>
  <c r="G964" i="1"/>
  <c r="H964" i="1"/>
  <c r="I964" i="1"/>
  <c r="A965" i="1"/>
  <c r="B965" i="1"/>
  <c r="C965" i="1"/>
  <c r="D965" i="1"/>
  <c r="E965" i="1"/>
  <c r="F965" i="1"/>
  <c r="G965" i="1"/>
  <c r="H965" i="1"/>
  <c r="I965" i="1"/>
  <c r="A966" i="1"/>
  <c r="B966" i="1"/>
  <c r="C966" i="1"/>
  <c r="D966" i="1"/>
  <c r="E966" i="1"/>
  <c r="F966" i="1"/>
  <c r="G966" i="1"/>
  <c r="H966" i="1"/>
  <c r="I966" i="1"/>
  <c r="A967" i="1"/>
  <c r="B967" i="1"/>
  <c r="C967" i="1"/>
  <c r="D967" i="1"/>
  <c r="E967" i="1"/>
  <c r="F967" i="1"/>
  <c r="G967" i="1"/>
  <c r="H967" i="1"/>
  <c r="I967" i="1"/>
  <c r="A968" i="1"/>
  <c r="B968" i="1"/>
  <c r="C968" i="1"/>
  <c r="D968" i="1"/>
  <c r="E968" i="1"/>
  <c r="F968" i="1"/>
  <c r="G968" i="1"/>
  <c r="H968" i="1"/>
  <c r="I968" i="1"/>
  <c r="A969" i="1"/>
  <c r="B969" i="1"/>
  <c r="C969" i="1"/>
  <c r="D969" i="1"/>
  <c r="E969" i="1"/>
  <c r="F969" i="1"/>
  <c r="G969" i="1"/>
  <c r="H969" i="1"/>
  <c r="I969" i="1"/>
  <c r="A970" i="1"/>
  <c r="B970" i="1"/>
  <c r="C970" i="1"/>
  <c r="D970" i="1"/>
  <c r="E970" i="1"/>
  <c r="F970" i="1"/>
  <c r="G970" i="1"/>
  <c r="H970" i="1"/>
  <c r="I970" i="1"/>
  <c r="A971" i="1"/>
  <c r="B971" i="1"/>
  <c r="C971" i="1"/>
  <c r="D971" i="1"/>
  <c r="E971" i="1"/>
  <c r="F971" i="1"/>
  <c r="G971" i="1"/>
  <c r="H971" i="1"/>
  <c r="I971" i="1"/>
  <c r="A972" i="1"/>
  <c r="B972" i="1"/>
  <c r="C972" i="1"/>
  <c r="D972" i="1"/>
  <c r="E972" i="1"/>
  <c r="F972" i="1"/>
  <c r="G972" i="1"/>
  <c r="H972" i="1"/>
  <c r="I972" i="1"/>
  <c r="A973" i="1"/>
  <c r="B973" i="1"/>
  <c r="C973" i="1"/>
  <c r="D973" i="1"/>
  <c r="E973" i="1"/>
  <c r="F973" i="1"/>
  <c r="G973" i="1"/>
  <c r="H973" i="1"/>
  <c r="I973" i="1"/>
  <c r="A974" i="1"/>
  <c r="B974" i="1"/>
  <c r="C974" i="1"/>
  <c r="D974" i="1"/>
  <c r="E974" i="1"/>
  <c r="F974" i="1"/>
  <c r="G974" i="1"/>
  <c r="H974" i="1"/>
  <c r="I974" i="1"/>
  <c r="A975" i="1"/>
  <c r="B975" i="1"/>
  <c r="C975" i="1"/>
  <c r="D975" i="1"/>
  <c r="E975" i="1"/>
  <c r="F975" i="1"/>
  <c r="G975" i="1"/>
  <c r="H975" i="1"/>
  <c r="I975" i="1"/>
  <c r="A976" i="1"/>
  <c r="B976" i="1"/>
  <c r="C976" i="1"/>
  <c r="D976" i="1"/>
  <c r="E976" i="1"/>
  <c r="F976" i="1"/>
  <c r="G976" i="1"/>
  <c r="H976" i="1"/>
  <c r="I976" i="1"/>
  <c r="A977" i="1"/>
  <c r="B977" i="1"/>
  <c r="C977" i="1"/>
  <c r="D977" i="1"/>
  <c r="E977" i="1"/>
  <c r="F977" i="1"/>
  <c r="G977" i="1"/>
  <c r="H977" i="1"/>
  <c r="I977" i="1"/>
  <c r="A978" i="1"/>
  <c r="B978" i="1"/>
  <c r="C978" i="1"/>
  <c r="D978" i="1"/>
  <c r="E978" i="1"/>
  <c r="F978" i="1"/>
  <c r="G978" i="1"/>
  <c r="H978" i="1"/>
  <c r="I978" i="1"/>
  <c r="A979" i="1"/>
  <c r="B979" i="1"/>
  <c r="C979" i="1"/>
  <c r="D979" i="1"/>
  <c r="E979" i="1"/>
  <c r="F979" i="1"/>
  <c r="G979" i="1"/>
  <c r="H979" i="1"/>
  <c r="I979" i="1"/>
  <c r="A980" i="1"/>
  <c r="B980" i="1"/>
  <c r="C980" i="1"/>
  <c r="D980" i="1"/>
  <c r="E980" i="1"/>
  <c r="F980" i="1"/>
  <c r="G980" i="1"/>
  <c r="H980" i="1"/>
  <c r="I980" i="1"/>
  <c r="A981" i="1"/>
  <c r="B981" i="1"/>
  <c r="C981" i="1"/>
  <c r="D981" i="1"/>
  <c r="E981" i="1"/>
  <c r="F981" i="1"/>
  <c r="G981" i="1"/>
  <c r="H981" i="1"/>
  <c r="I981" i="1"/>
  <c r="A982" i="1"/>
  <c r="B982" i="1"/>
  <c r="C982" i="1"/>
  <c r="D982" i="1"/>
  <c r="E982" i="1"/>
  <c r="F982" i="1"/>
  <c r="G982" i="1"/>
  <c r="H982" i="1"/>
  <c r="I982" i="1"/>
  <c r="A983" i="1"/>
  <c r="B983" i="1"/>
  <c r="C983" i="1"/>
  <c r="D983" i="1"/>
  <c r="E983" i="1"/>
  <c r="F983" i="1"/>
  <c r="G983" i="1"/>
  <c r="H983" i="1"/>
  <c r="I983" i="1"/>
  <c r="A984" i="1"/>
  <c r="B984" i="1"/>
  <c r="C984" i="1"/>
  <c r="D984" i="1"/>
  <c r="E984" i="1"/>
  <c r="F984" i="1"/>
  <c r="G984" i="1"/>
  <c r="H984" i="1"/>
  <c r="I984" i="1"/>
  <c r="A985" i="1"/>
  <c r="B985" i="1"/>
  <c r="C985" i="1"/>
  <c r="D985" i="1"/>
  <c r="E985" i="1"/>
  <c r="F985" i="1"/>
  <c r="G985" i="1"/>
  <c r="H985" i="1"/>
  <c r="I985" i="1"/>
  <c r="A986" i="1"/>
  <c r="B986" i="1"/>
  <c r="C986" i="1"/>
  <c r="D986" i="1"/>
  <c r="E986" i="1"/>
  <c r="F986" i="1"/>
  <c r="G986" i="1"/>
  <c r="H986" i="1"/>
  <c r="I986" i="1"/>
  <c r="A987" i="1"/>
  <c r="B987" i="1"/>
  <c r="C987" i="1"/>
  <c r="D987" i="1"/>
  <c r="E987" i="1"/>
  <c r="F987" i="1"/>
  <c r="G987" i="1"/>
  <c r="H987" i="1"/>
  <c r="I987" i="1"/>
  <c r="A988" i="1"/>
  <c r="B988" i="1"/>
  <c r="C988" i="1"/>
  <c r="D988" i="1"/>
  <c r="E988" i="1"/>
  <c r="F988" i="1"/>
  <c r="G988" i="1"/>
  <c r="H988" i="1"/>
  <c r="I988" i="1"/>
  <c r="A989" i="1"/>
  <c r="B989" i="1"/>
  <c r="C989" i="1"/>
  <c r="D989" i="1"/>
  <c r="E989" i="1"/>
  <c r="F989" i="1"/>
  <c r="G989" i="1"/>
  <c r="H989" i="1"/>
  <c r="I989" i="1"/>
  <c r="A990" i="1"/>
  <c r="B990" i="1"/>
  <c r="C990" i="1"/>
  <c r="D990" i="1"/>
  <c r="E990" i="1"/>
  <c r="F990" i="1"/>
  <c r="G990" i="1"/>
  <c r="H990" i="1"/>
  <c r="I990" i="1"/>
  <c r="A991" i="1"/>
  <c r="B991" i="1"/>
  <c r="C991" i="1"/>
  <c r="D991" i="1"/>
  <c r="E991" i="1"/>
  <c r="F991" i="1"/>
  <c r="G991" i="1"/>
  <c r="H991" i="1"/>
  <c r="I991" i="1"/>
  <c r="A992" i="1"/>
  <c r="B992" i="1"/>
  <c r="C992" i="1"/>
  <c r="D992" i="1"/>
  <c r="E992" i="1"/>
  <c r="F992" i="1"/>
  <c r="G992" i="1"/>
  <c r="H992" i="1"/>
  <c r="I992" i="1"/>
  <c r="A993" i="1"/>
  <c r="B993" i="1"/>
  <c r="C993" i="1"/>
  <c r="D993" i="1"/>
  <c r="E993" i="1"/>
  <c r="F993" i="1"/>
  <c r="G993" i="1"/>
  <c r="H993" i="1"/>
  <c r="I993" i="1"/>
  <c r="A994" i="1"/>
  <c r="B994" i="1"/>
  <c r="C994" i="1"/>
  <c r="D994" i="1"/>
  <c r="E994" i="1"/>
  <c r="F994" i="1"/>
  <c r="G994" i="1"/>
  <c r="H994" i="1"/>
  <c r="I994" i="1"/>
  <c r="A995" i="1"/>
  <c r="B995" i="1"/>
  <c r="C995" i="1"/>
  <c r="D995" i="1"/>
  <c r="E995" i="1"/>
  <c r="F995" i="1"/>
  <c r="G995" i="1"/>
  <c r="H995" i="1"/>
  <c r="I995" i="1"/>
  <c r="A996" i="1"/>
  <c r="B996" i="1"/>
  <c r="C996" i="1"/>
  <c r="D996" i="1"/>
  <c r="E996" i="1"/>
  <c r="F996" i="1"/>
  <c r="G996" i="1"/>
  <c r="H996" i="1"/>
  <c r="I996" i="1"/>
  <c r="A997" i="1"/>
  <c r="B997" i="1"/>
  <c r="C997" i="1"/>
  <c r="D997" i="1"/>
  <c r="E997" i="1"/>
  <c r="F997" i="1"/>
  <c r="G997" i="1"/>
  <c r="H997" i="1"/>
  <c r="I997" i="1"/>
  <c r="A998" i="1"/>
  <c r="B998" i="1"/>
  <c r="C998" i="1"/>
  <c r="D998" i="1"/>
  <c r="E998" i="1"/>
  <c r="F998" i="1"/>
  <c r="G998" i="1"/>
  <c r="H998" i="1"/>
  <c r="I998" i="1"/>
  <c r="A999" i="1"/>
  <c r="B999" i="1"/>
  <c r="C999" i="1"/>
  <c r="D999" i="1"/>
  <c r="E999" i="1"/>
  <c r="F999" i="1"/>
  <c r="G999" i="1"/>
  <c r="H999" i="1"/>
  <c r="I999" i="1"/>
  <c r="A1000" i="1"/>
  <c r="B1000" i="1"/>
  <c r="C1000" i="1"/>
  <c r="D1000" i="1"/>
  <c r="E1000" i="1"/>
  <c r="F1000" i="1"/>
  <c r="G1000" i="1"/>
  <c r="H1000" i="1"/>
  <c r="I1000" i="1"/>
  <c r="A1001" i="1"/>
  <c r="B1001" i="1"/>
  <c r="C1001" i="1"/>
  <c r="D1001" i="1"/>
  <c r="E1001" i="1"/>
  <c r="F1001" i="1"/>
  <c r="G1001" i="1"/>
  <c r="H1001" i="1"/>
  <c r="I1001" i="1"/>
  <c r="A1002" i="1"/>
  <c r="B1002" i="1"/>
  <c r="C1002" i="1"/>
  <c r="D1002" i="1"/>
  <c r="E1002" i="1"/>
  <c r="F1002" i="1"/>
  <c r="G1002" i="1"/>
  <c r="H1002" i="1"/>
  <c r="I1002" i="1"/>
  <c r="A1003" i="1"/>
  <c r="B1003" i="1"/>
  <c r="C1003" i="1"/>
  <c r="D1003" i="1"/>
  <c r="E1003" i="1"/>
  <c r="F1003" i="1"/>
  <c r="G1003" i="1"/>
  <c r="H1003" i="1"/>
  <c r="I1003" i="1"/>
  <c r="A1004" i="1"/>
  <c r="B1004" i="1"/>
  <c r="C1004" i="1"/>
  <c r="D1004" i="1"/>
  <c r="E1004" i="1"/>
  <c r="F1004" i="1"/>
  <c r="G1004" i="1"/>
  <c r="H1004" i="1"/>
  <c r="I1004" i="1"/>
  <c r="A1005" i="1"/>
  <c r="B1005" i="1"/>
  <c r="C1005" i="1"/>
  <c r="D1005" i="1"/>
  <c r="E1005" i="1"/>
  <c r="F1005" i="1"/>
  <c r="G1005" i="1"/>
  <c r="H1005" i="1"/>
  <c r="I1005" i="1"/>
  <c r="A1006" i="1"/>
  <c r="B1006" i="1"/>
  <c r="C1006" i="1"/>
  <c r="D1006" i="1"/>
  <c r="E1006" i="1"/>
  <c r="F1006" i="1"/>
  <c r="G1006" i="1"/>
  <c r="H1006" i="1"/>
  <c r="I1006" i="1"/>
  <c r="A1007" i="1"/>
  <c r="B1007" i="1"/>
  <c r="C1007" i="1"/>
  <c r="D1007" i="1"/>
  <c r="E1007" i="1"/>
  <c r="F1007" i="1"/>
  <c r="G1007" i="1"/>
  <c r="H1007" i="1"/>
  <c r="I1007" i="1"/>
  <c r="A1008" i="1"/>
  <c r="B1008" i="1"/>
  <c r="C1008" i="1"/>
  <c r="D1008" i="1"/>
  <c r="E1008" i="1"/>
  <c r="F1008" i="1"/>
  <c r="G1008" i="1"/>
  <c r="H1008" i="1"/>
  <c r="I1008" i="1"/>
  <c r="A1009" i="1"/>
  <c r="B1009" i="1"/>
  <c r="C1009" i="1"/>
  <c r="D1009" i="1"/>
  <c r="E1009" i="1"/>
  <c r="F1009" i="1"/>
  <c r="G1009" i="1"/>
  <c r="H1009" i="1"/>
  <c r="I1009" i="1"/>
  <c r="A1010" i="1"/>
  <c r="B1010" i="1"/>
  <c r="C1010" i="1"/>
  <c r="D1010" i="1"/>
  <c r="E1010" i="1"/>
  <c r="F1010" i="1"/>
  <c r="G1010" i="1"/>
  <c r="H1010" i="1"/>
  <c r="I1010" i="1"/>
  <c r="A1011" i="1"/>
  <c r="B1011" i="1"/>
  <c r="C1011" i="1"/>
  <c r="D1011" i="1"/>
  <c r="E1011" i="1"/>
  <c r="F1011" i="1"/>
  <c r="G1011" i="1"/>
  <c r="H1011" i="1"/>
  <c r="I1011" i="1"/>
  <c r="A1012" i="1"/>
  <c r="B1012" i="1"/>
  <c r="C1012" i="1"/>
  <c r="D1012" i="1"/>
  <c r="E1012" i="1"/>
  <c r="F1012" i="1"/>
  <c r="G1012" i="1"/>
  <c r="H1012" i="1"/>
  <c r="I1012" i="1"/>
  <c r="A1013" i="1"/>
  <c r="B1013" i="1"/>
  <c r="C1013" i="1"/>
  <c r="D1013" i="1"/>
  <c r="E1013" i="1"/>
  <c r="F1013" i="1"/>
  <c r="G1013" i="1"/>
  <c r="H1013" i="1"/>
  <c r="I1013" i="1"/>
  <c r="A1014" i="1"/>
  <c r="B1014" i="1"/>
  <c r="C1014" i="1"/>
  <c r="D1014" i="1"/>
  <c r="E1014" i="1"/>
  <c r="F1014" i="1"/>
  <c r="G1014" i="1"/>
  <c r="H1014" i="1"/>
  <c r="I1014" i="1"/>
  <c r="A1015" i="1"/>
  <c r="B1015" i="1"/>
  <c r="C1015" i="1"/>
  <c r="D1015" i="1"/>
  <c r="E1015" i="1"/>
  <c r="F1015" i="1"/>
  <c r="G1015" i="1"/>
  <c r="H1015" i="1"/>
  <c r="I1015" i="1"/>
  <c r="A1016" i="1"/>
  <c r="B1016" i="1"/>
  <c r="C1016" i="1"/>
  <c r="D1016" i="1"/>
  <c r="E1016" i="1"/>
  <c r="F1016" i="1"/>
  <c r="G1016" i="1"/>
  <c r="H1016" i="1"/>
  <c r="I1016" i="1"/>
  <c r="A1017" i="1"/>
  <c r="B1017" i="1"/>
  <c r="C1017" i="1"/>
  <c r="D1017" i="1"/>
  <c r="E1017" i="1"/>
  <c r="F1017" i="1"/>
  <c r="G1017" i="1"/>
  <c r="H1017" i="1"/>
  <c r="I1017" i="1"/>
  <c r="A1018" i="1"/>
  <c r="B1018" i="1"/>
  <c r="C1018" i="1"/>
  <c r="D1018" i="1"/>
  <c r="E1018" i="1"/>
  <c r="F1018" i="1"/>
  <c r="G1018" i="1"/>
  <c r="H1018" i="1"/>
  <c r="I1018" i="1"/>
  <c r="A1019" i="1"/>
  <c r="B1019" i="1"/>
  <c r="C1019" i="1"/>
  <c r="D1019" i="1"/>
  <c r="E1019" i="1"/>
  <c r="F1019" i="1"/>
  <c r="G1019" i="1"/>
  <c r="H1019" i="1"/>
  <c r="I1019" i="1"/>
  <c r="A1020" i="1"/>
  <c r="B1020" i="1"/>
  <c r="C1020" i="1"/>
  <c r="D1020" i="1"/>
  <c r="E1020" i="1"/>
  <c r="F1020" i="1"/>
  <c r="G1020" i="1"/>
  <c r="H1020" i="1"/>
  <c r="I1020" i="1"/>
  <c r="A1021" i="1"/>
  <c r="B1021" i="1"/>
  <c r="C1021" i="1"/>
  <c r="D1021" i="1"/>
  <c r="E1021" i="1"/>
  <c r="F1021" i="1"/>
  <c r="G1021" i="1"/>
  <c r="H1021" i="1"/>
  <c r="I1021" i="1"/>
  <c r="A1022" i="1"/>
  <c r="B1022" i="1"/>
  <c r="C1022" i="1"/>
  <c r="D1022" i="1"/>
  <c r="E1022" i="1"/>
  <c r="F1022" i="1"/>
  <c r="G1022" i="1"/>
  <c r="H1022" i="1"/>
  <c r="I1022" i="1"/>
  <c r="A1023" i="1"/>
  <c r="B1023" i="1"/>
  <c r="C1023" i="1"/>
  <c r="D1023" i="1"/>
  <c r="E1023" i="1"/>
  <c r="F1023" i="1"/>
  <c r="G1023" i="1"/>
  <c r="H1023" i="1"/>
  <c r="I1023" i="1"/>
  <c r="A1024" i="1"/>
  <c r="B1024" i="1"/>
  <c r="C1024" i="1"/>
  <c r="D1024" i="1"/>
  <c r="E1024" i="1"/>
  <c r="F1024" i="1"/>
  <c r="G1024" i="1"/>
  <c r="H1024" i="1"/>
  <c r="I1024" i="1"/>
  <c r="A1025" i="1"/>
  <c r="B1025" i="1"/>
  <c r="C1025" i="1"/>
  <c r="D1025" i="1"/>
  <c r="E1025" i="1"/>
  <c r="F1025" i="1"/>
  <c r="G1025" i="1"/>
  <c r="H1025" i="1"/>
  <c r="I1025" i="1"/>
  <c r="A1026" i="1"/>
  <c r="B1026" i="1"/>
  <c r="C1026" i="1"/>
  <c r="D1026" i="1"/>
  <c r="E1026" i="1"/>
  <c r="F1026" i="1"/>
  <c r="G1026" i="1"/>
  <c r="H1026" i="1"/>
  <c r="I1026" i="1"/>
  <c r="A1027" i="1"/>
  <c r="B1027" i="1"/>
  <c r="C1027" i="1"/>
  <c r="D1027" i="1"/>
  <c r="E1027" i="1"/>
  <c r="F1027" i="1"/>
  <c r="G1027" i="1"/>
  <c r="H1027" i="1"/>
  <c r="I1027" i="1"/>
  <c r="A1028" i="1"/>
  <c r="B1028" i="1"/>
  <c r="C1028" i="1"/>
  <c r="D1028" i="1"/>
  <c r="E1028" i="1"/>
  <c r="F1028" i="1"/>
  <c r="G1028" i="1"/>
  <c r="H1028" i="1"/>
  <c r="I1028" i="1"/>
  <c r="A1029" i="1"/>
  <c r="B1029" i="1"/>
  <c r="C1029" i="1"/>
  <c r="D1029" i="1"/>
  <c r="E1029" i="1"/>
  <c r="F1029" i="1"/>
  <c r="G1029" i="1"/>
  <c r="H1029" i="1"/>
  <c r="I1029" i="1"/>
  <c r="A1030" i="1"/>
  <c r="B1030" i="1"/>
  <c r="C1030" i="1"/>
  <c r="D1030" i="1"/>
  <c r="E1030" i="1"/>
  <c r="F1030" i="1"/>
  <c r="G1030" i="1"/>
  <c r="H1030" i="1"/>
  <c r="I1030" i="1"/>
  <c r="A1031" i="1"/>
  <c r="B1031" i="1"/>
  <c r="C1031" i="1"/>
  <c r="D1031" i="1"/>
  <c r="E1031" i="1"/>
  <c r="F1031" i="1"/>
  <c r="G1031" i="1"/>
  <c r="H1031" i="1"/>
  <c r="I1031" i="1"/>
  <c r="A1032" i="1"/>
  <c r="B1032" i="1"/>
  <c r="C1032" i="1"/>
  <c r="D1032" i="1"/>
  <c r="E1032" i="1"/>
  <c r="F1032" i="1"/>
  <c r="G1032" i="1"/>
  <c r="H1032" i="1"/>
  <c r="I1032" i="1"/>
  <c r="A1033" i="1"/>
  <c r="B1033" i="1"/>
  <c r="C1033" i="1"/>
  <c r="D1033" i="1"/>
  <c r="E1033" i="1"/>
  <c r="F1033" i="1"/>
  <c r="G1033" i="1"/>
  <c r="H1033" i="1"/>
  <c r="I1033" i="1"/>
  <c r="A1034" i="1"/>
  <c r="B1034" i="1"/>
  <c r="C1034" i="1"/>
  <c r="D1034" i="1"/>
  <c r="E1034" i="1"/>
  <c r="F1034" i="1"/>
  <c r="G1034" i="1"/>
  <c r="H1034" i="1"/>
  <c r="I1034" i="1"/>
  <c r="A1035" i="1"/>
  <c r="B1035" i="1"/>
  <c r="C1035" i="1"/>
  <c r="D1035" i="1"/>
  <c r="E1035" i="1"/>
  <c r="F1035" i="1"/>
  <c r="G1035" i="1"/>
  <c r="H1035" i="1"/>
  <c r="I1035" i="1"/>
  <c r="A1036" i="1"/>
  <c r="B1036" i="1"/>
  <c r="C1036" i="1"/>
  <c r="D1036" i="1"/>
  <c r="E1036" i="1"/>
  <c r="F1036" i="1"/>
  <c r="G1036" i="1"/>
  <c r="H1036" i="1"/>
  <c r="I1036" i="1"/>
  <c r="A1037" i="1"/>
  <c r="B1037" i="1"/>
  <c r="C1037" i="1"/>
  <c r="D1037" i="1"/>
  <c r="E1037" i="1"/>
  <c r="F1037" i="1"/>
  <c r="G1037" i="1"/>
  <c r="H1037" i="1"/>
  <c r="I1037" i="1"/>
  <c r="A1038" i="1"/>
  <c r="B1038" i="1"/>
  <c r="C1038" i="1"/>
  <c r="D1038" i="1"/>
  <c r="E1038" i="1"/>
  <c r="F1038" i="1"/>
  <c r="G1038" i="1"/>
  <c r="H1038" i="1"/>
  <c r="I1038" i="1"/>
  <c r="A1039" i="1"/>
  <c r="B1039" i="1"/>
  <c r="C1039" i="1"/>
  <c r="D1039" i="1"/>
  <c r="E1039" i="1"/>
  <c r="F1039" i="1"/>
  <c r="G1039" i="1"/>
  <c r="H1039" i="1"/>
  <c r="I1039" i="1"/>
  <c r="A1040" i="1"/>
  <c r="B1040" i="1"/>
  <c r="C1040" i="1"/>
  <c r="D1040" i="1"/>
  <c r="E1040" i="1"/>
  <c r="F1040" i="1"/>
  <c r="G1040" i="1"/>
  <c r="H1040" i="1"/>
  <c r="I1040" i="1"/>
  <c r="A1041" i="1"/>
  <c r="B1041" i="1"/>
  <c r="C1041" i="1"/>
  <c r="D1041" i="1"/>
  <c r="E1041" i="1"/>
  <c r="F1041" i="1"/>
  <c r="G1041" i="1"/>
  <c r="H1041" i="1"/>
  <c r="I1041" i="1"/>
  <c r="A1042" i="1"/>
  <c r="B1042" i="1"/>
  <c r="C1042" i="1"/>
  <c r="D1042" i="1"/>
  <c r="E1042" i="1"/>
  <c r="F1042" i="1"/>
  <c r="G1042" i="1"/>
  <c r="H1042" i="1"/>
  <c r="I1042" i="1"/>
  <c r="A1043" i="1"/>
  <c r="B1043" i="1"/>
  <c r="C1043" i="1"/>
  <c r="D1043" i="1"/>
  <c r="E1043" i="1"/>
  <c r="F1043" i="1"/>
  <c r="G1043" i="1"/>
  <c r="H1043" i="1"/>
  <c r="I1043" i="1"/>
  <c r="A1044" i="1"/>
  <c r="B1044" i="1"/>
  <c r="C1044" i="1"/>
  <c r="D1044" i="1"/>
  <c r="E1044" i="1"/>
  <c r="F1044" i="1"/>
  <c r="G1044" i="1"/>
  <c r="H1044" i="1"/>
  <c r="I1044" i="1"/>
  <c r="A1045" i="1"/>
  <c r="B1045" i="1"/>
  <c r="C1045" i="1"/>
  <c r="D1045" i="1"/>
  <c r="E1045" i="1"/>
  <c r="F1045" i="1"/>
  <c r="G1045" i="1"/>
  <c r="H1045" i="1"/>
  <c r="I1045" i="1"/>
  <c r="A1046" i="1"/>
  <c r="B1046" i="1"/>
  <c r="C1046" i="1"/>
  <c r="D1046" i="1"/>
  <c r="E1046" i="1"/>
  <c r="F1046" i="1"/>
  <c r="G1046" i="1"/>
  <c r="H1046" i="1"/>
  <c r="I1046" i="1"/>
  <c r="A1047" i="1"/>
  <c r="B1047" i="1"/>
  <c r="C1047" i="1"/>
  <c r="D1047" i="1"/>
  <c r="E1047" i="1"/>
  <c r="F1047" i="1"/>
  <c r="G1047" i="1"/>
  <c r="H1047" i="1"/>
  <c r="I1047" i="1"/>
  <c r="A1048" i="1"/>
  <c r="B1048" i="1"/>
  <c r="C1048" i="1"/>
  <c r="D1048" i="1"/>
  <c r="E1048" i="1"/>
  <c r="F1048" i="1"/>
  <c r="G1048" i="1"/>
  <c r="H1048" i="1"/>
  <c r="I1048" i="1"/>
  <c r="A1049" i="1"/>
  <c r="B1049" i="1"/>
  <c r="C1049" i="1"/>
  <c r="D1049" i="1"/>
  <c r="E1049" i="1"/>
  <c r="F1049" i="1"/>
  <c r="G1049" i="1"/>
  <c r="H1049" i="1"/>
  <c r="I1049" i="1"/>
  <c r="A1050" i="1"/>
  <c r="B1050" i="1"/>
  <c r="C1050" i="1"/>
  <c r="D1050" i="1"/>
  <c r="E1050" i="1"/>
  <c r="F1050" i="1"/>
  <c r="G1050" i="1"/>
  <c r="H1050" i="1"/>
  <c r="I1050" i="1"/>
  <c r="A1051" i="1"/>
  <c r="B1051" i="1"/>
  <c r="C1051" i="1"/>
  <c r="D1051" i="1"/>
  <c r="E1051" i="1"/>
  <c r="F1051" i="1"/>
  <c r="G1051" i="1"/>
  <c r="H1051" i="1"/>
  <c r="I1051" i="1"/>
  <c r="A1052" i="1"/>
  <c r="B1052" i="1"/>
  <c r="C1052" i="1"/>
  <c r="D1052" i="1"/>
  <c r="E1052" i="1"/>
  <c r="F1052" i="1"/>
  <c r="G1052" i="1"/>
  <c r="H1052" i="1"/>
  <c r="I1052" i="1"/>
  <c r="A1053" i="1"/>
  <c r="B1053" i="1"/>
  <c r="C1053" i="1"/>
  <c r="D1053" i="1"/>
  <c r="E1053" i="1"/>
  <c r="F1053" i="1"/>
  <c r="G1053" i="1"/>
  <c r="H1053" i="1"/>
  <c r="I1053" i="1"/>
  <c r="A1054" i="1"/>
  <c r="B1054" i="1"/>
  <c r="C1054" i="1"/>
  <c r="D1054" i="1"/>
  <c r="E1054" i="1"/>
  <c r="F1054" i="1"/>
  <c r="G1054" i="1"/>
  <c r="H1054" i="1"/>
  <c r="I1054" i="1"/>
  <c r="A1055" i="1"/>
  <c r="B1055" i="1"/>
  <c r="C1055" i="1"/>
  <c r="D1055" i="1"/>
  <c r="E1055" i="1"/>
  <c r="F1055" i="1"/>
  <c r="G1055" i="1"/>
  <c r="H1055" i="1"/>
  <c r="I1055" i="1"/>
  <c r="A1056" i="1"/>
  <c r="B1056" i="1"/>
  <c r="C1056" i="1"/>
  <c r="D1056" i="1"/>
  <c r="E1056" i="1"/>
  <c r="F1056" i="1"/>
  <c r="G1056" i="1"/>
  <c r="H1056" i="1"/>
  <c r="I1056" i="1"/>
  <c r="A1057" i="1"/>
  <c r="B1057" i="1"/>
  <c r="C1057" i="1"/>
  <c r="D1057" i="1"/>
  <c r="E1057" i="1"/>
  <c r="F1057" i="1"/>
  <c r="G1057" i="1"/>
  <c r="H1057" i="1"/>
  <c r="I1057" i="1"/>
  <c r="A1058" i="1"/>
  <c r="B1058" i="1"/>
  <c r="C1058" i="1"/>
  <c r="D1058" i="1"/>
  <c r="E1058" i="1"/>
  <c r="F1058" i="1"/>
  <c r="G1058" i="1"/>
  <c r="H1058" i="1"/>
  <c r="I1058" i="1"/>
  <c r="A1059" i="1"/>
  <c r="B1059" i="1"/>
  <c r="C1059" i="1"/>
  <c r="D1059" i="1"/>
  <c r="E1059" i="1"/>
  <c r="F1059" i="1"/>
  <c r="G1059" i="1"/>
  <c r="H1059" i="1"/>
  <c r="I1059" i="1"/>
  <c r="A1060" i="1"/>
  <c r="B1060" i="1"/>
  <c r="C1060" i="1"/>
  <c r="D1060" i="1"/>
  <c r="E1060" i="1"/>
  <c r="F1060" i="1"/>
  <c r="G1060" i="1"/>
  <c r="H1060" i="1"/>
  <c r="I1060" i="1"/>
  <c r="A1061" i="1"/>
  <c r="B1061" i="1"/>
  <c r="C1061" i="1"/>
  <c r="D1061" i="1"/>
  <c r="E1061" i="1"/>
  <c r="F1061" i="1"/>
  <c r="G1061" i="1"/>
  <c r="H1061" i="1"/>
  <c r="I1061" i="1"/>
  <c r="A1062" i="1"/>
  <c r="B1062" i="1"/>
  <c r="C1062" i="1"/>
  <c r="D1062" i="1"/>
  <c r="E1062" i="1"/>
  <c r="F1062" i="1"/>
  <c r="G1062" i="1"/>
  <c r="H1062" i="1"/>
  <c r="I1062" i="1"/>
  <c r="A1063" i="1"/>
  <c r="B1063" i="1"/>
  <c r="C1063" i="1"/>
  <c r="D1063" i="1"/>
  <c r="E1063" i="1"/>
  <c r="F1063" i="1"/>
  <c r="G1063" i="1"/>
  <c r="H1063" i="1"/>
  <c r="I1063" i="1"/>
  <c r="A1064" i="1"/>
  <c r="B1064" i="1"/>
  <c r="C1064" i="1"/>
  <c r="D1064" i="1"/>
  <c r="E1064" i="1"/>
  <c r="F1064" i="1"/>
  <c r="G1064" i="1"/>
  <c r="H1064" i="1"/>
  <c r="I1064" i="1"/>
  <c r="A1065" i="1"/>
  <c r="B1065" i="1"/>
  <c r="C1065" i="1"/>
  <c r="D1065" i="1"/>
  <c r="E1065" i="1"/>
  <c r="F1065" i="1"/>
  <c r="G1065" i="1"/>
  <c r="H1065" i="1"/>
  <c r="I1065" i="1"/>
  <c r="A1066" i="1"/>
  <c r="B1066" i="1"/>
  <c r="C1066" i="1"/>
  <c r="D1066" i="1"/>
  <c r="E1066" i="1"/>
  <c r="F1066" i="1"/>
  <c r="G1066" i="1"/>
  <c r="H1066" i="1"/>
  <c r="I1066" i="1"/>
  <c r="A1067" i="1"/>
  <c r="B1067" i="1"/>
  <c r="C1067" i="1"/>
  <c r="D1067" i="1"/>
  <c r="E1067" i="1"/>
  <c r="F1067" i="1"/>
  <c r="G1067" i="1"/>
  <c r="H1067" i="1"/>
  <c r="I1067" i="1"/>
  <c r="A1068" i="1"/>
  <c r="B1068" i="1"/>
  <c r="C1068" i="1"/>
  <c r="D1068" i="1"/>
  <c r="E1068" i="1"/>
  <c r="F1068" i="1"/>
  <c r="G1068" i="1"/>
  <c r="H1068" i="1"/>
  <c r="I1068" i="1"/>
  <c r="A1069" i="1"/>
  <c r="B1069" i="1"/>
  <c r="C1069" i="1"/>
  <c r="D1069" i="1"/>
  <c r="E1069" i="1"/>
  <c r="F1069" i="1"/>
  <c r="G1069" i="1"/>
  <c r="H1069" i="1"/>
  <c r="I1069" i="1"/>
  <c r="A1070" i="1"/>
  <c r="B1070" i="1"/>
  <c r="C1070" i="1"/>
  <c r="D1070" i="1"/>
  <c r="E1070" i="1"/>
  <c r="F1070" i="1"/>
  <c r="G1070" i="1"/>
  <c r="H1070" i="1"/>
  <c r="I1070" i="1"/>
  <c r="A1071" i="1"/>
  <c r="B1071" i="1"/>
  <c r="C1071" i="1"/>
  <c r="D1071" i="1"/>
  <c r="E1071" i="1"/>
  <c r="F1071" i="1"/>
  <c r="G1071" i="1"/>
  <c r="H1071" i="1"/>
  <c r="I1071" i="1"/>
  <c r="A1072" i="1"/>
  <c r="B1072" i="1"/>
  <c r="C1072" i="1"/>
  <c r="D1072" i="1"/>
  <c r="E1072" i="1"/>
  <c r="F1072" i="1"/>
  <c r="G1072" i="1"/>
  <c r="H1072" i="1"/>
  <c r="I1072" i="1"/>
  <c r="A1073" i="1"/>
  <c r="B1073" i="1"/>
  <c r="C1073" i="1"/>
  <c r="D1073" i="1"/>
  <c r="E1073" i="1"/>
  <c r="F1073" i="1"/>
  <c r="G1073" i="1"/>
  <c r="H1073" i="1"/>
  <c r="I1073" i="1"/>
  <c r="A1074" i="1"/>
  <c r="B1074" i="1"/>
  <c r="C1074" i="1"/>
  <c r="D1074" i="1"/>
  <c r="E1074" i="1"/>
  <c r="F1074" i="1"/>
  <c r="G1074" i="1"/>
  <c r="H1074" i="1"/>
  <c r="I1074" i="1"/>
  <c r="A1075" i="1"/>
  <c r="B1075" i="1"/>
  <c r="C1075" i="1"/>
  <c r="D1075" i="1"/>
  <c r="E1075" i="1"/>
  <c r="F1075" i="1"/>
  <c r="G1075" i="1"/>
  <c r="H1075" i="1"/>
  <c r="I1075" i="1"/>
  <c r="A1076" i="1"/>
  <c r="B1076" i="1"/>
  <c r="C1076" i="1"/>
  <c r="D1076" i="1"/>
  <c r="E1076" i="1"/>
  <c r="F1076" i="1"/>
  <c r="G1076" i="1"/>
  <c r="H1076" i="1"/>
  <c r="I1076" i="1"/>
  <c r="A1077" i="1"/>
  <c r="B1077" i="1"/>
  <c r="C1077" i="1"/>
  <c r="D1077" i="1"/>
  <c r="E1077" i="1"/>
  <c r="F1077" i="1"/>
  <c r="G1077" i="1"/>
  <c r="H1077" i="1"/>
  <c r="I1077" i="1"/>
  <c r="A1078" i="1"/>
  <c r="B1078" i="1"/>
  <c r="C1078" i="1"/>
  <c r="D1078" i="1"/>
  <c r="E1078" i="1"/>
  <c r="F1078" i="1"/>
  <c r="G1078" i="1"/>
  <c r="H1078" i="1"/>
  <c r="I1078" i="1"/>
  <c r="A1079" i="1"/>
  <c r="B1079" i="1"/>
  <c r="C1079" i="1"/>
  <c r="D1079" i="1"/>
  <c r="E1079" i="1"/>
  <c r="F1079" i="1"/>
  <c r="G1079" i="1"/>
  <c r="H1079" i="1"/>
  <c r="I1079" i="1"/>
  <c r="A1080" i="1"/>
  <c r="B1080" i="1"/>
  <c r="C1080" i="1"/>
  <c r="D1080" i="1"/>
  <c r="E1080" i="1"/>
  <c r="F1080" i="1"/>
  <c r="G1080" i="1"/>
  <c r="H1080" i="1"/>
  <c r="I1080" i="1"/>
  <c r="A1081" i="1"/>
  <c r="B1081" i="1"/>
  <c r="C1081" i="1"/>
  <c r="D1081" i="1"/>
  <c r="E1081" i="1"/>
  <c r="F1081" i="1"/>
  <c r="G1081" i="1"/>
  <c r="H1081" i="1"/>
  <c r="I1081" i="1"/>
  <c r="A1082" i="1"/>
  <c r="B1082" i="1"/>
  <c r="C1082" i="1"/>
  <c r="D1082" i="1"/>
  <c r="E1082" i="1"/>
  <c r="F1082" i="1"/>
  <c r="G1082" i="1"/>
  <c r="H1082" i="1"/>
  <c r="I1082" i="1"/>
  <c r="A1083" i="1"/>
  <c r="B1083" i="1"/>
  <c r="C1083" i="1"/>
  <c r="D1083" i="1"/>
  <c r="E1083" i="1"/>
  <c r="F1083" i="1"/>
  <c r="G1083" i="1"/>
  <c r="H1083" i="1"/>
  <c r="I1083" i="1"/>
  <c r="A1084" i="1"/>
  <c r="B1084" i="1"/>
  <c r="C1084" i="1"/>
  <c r="D1084" i="1"/>
  <c r="E1084" i="1"/>
  <c r="F1084" i="1"/>
  <c r="G1084" i="1"/>
  <c r="H1084" i="1"/>
  <c r="I1084" i="1"/>
  <c r="A1085" i="1"/>
  <c r="B1085" i="1"/>
  <c r="C1085" i="1"/>
  <c r="D1085" i="1"/>
  <c r="E1085" i="1"/>
  <c r="F1085" i="1"/>
  <c r="G1085" i="1"/>
  <c r="H1085" i="1"/>
  <c r="I1085" i="1"/>
  <c r="A1086" i="1"/>
  <c r="B1086" i="1"/>
  <c r="C1086" i="1"/>
  <c r="D1086" i="1"/>
  <c r="E1086" i="1"/>
  <c r="F1086" i="1"/>
  <c r="G1086" i="1"/>
  <c r="H1086" i="1"/>
  <c r="I1086" i="1"/>
  <c r="A1087" i="1"/>
  <c r="B1087" i="1"/>
  <c r="C1087" i="1"/>
  <c r="D1087" i="1"/>
  <c r="E1087" i="1"/>
  <c r="F1087" i="1"/>
  <c r="G1087" i="1"/>
  <c r="H1087" i="1"/>
  <c r="I1087" i="1"/>
  <c r="A1088" i="1"/>
  <c r="B1088" i="1"/>
  <c r="C1088" i="1"/>
  <c r="D1088" i="1"/>
  <c r="E1088" i="1"/>
  <c r="F1088" i="1"/>
  <c r="G1088" i="1"/>
  <c r="H1088" i="1"/>
  <c r="I1088" i="1"/>
  <c r="A1089" i="1"/>
  <c r="B1089" i="1"/>
  <c r="C1089" i="1"/>
  <c r="D1089" i="1"/>
  <c r="E1089" i="1"/>
  <c r="F1089" i="1"/>
  <c r="G1089" i="1"/>
  <c r="H1089" i="1"/>
  <c r="I1089" i="1"/>
  <c r="A1090" i="1"/>
  <c r="B1090" i="1"/>
  <c r="C1090" i="1"/>
  <c r="D1090" i="1"/>
  <c r="E1090" i="1"/>
  <c r="F1090" i="1"/>
  <c r="G1090" i="1"/>
  <c r="H1090" i="1"/>
  <c r="I1090" i="1"/>
  <c r="A1091" i="1"/>
  <c r="B1091" i="1"/>
  <c r="C1091" i="1"/>
  <c r="D1091" i="1"/>
  <c r="E1091" i="1"/>
  <c r="F1091" i="1"/>
  <c r="G1091" i="1"/>
  <c r="H1091" i="1"/>
  <c r="I1091" i="1"/>
  <c r="A1092" i="1"/>
  <c r="B1092" i="1"/>
  <c r="C1092" i="1"/>
  <c r="D1092" i="1"/>
  <c r="E1092" i="1"/>
  <c r="F1092" i="1"/>
  <c r="G1092" i="1"/>
  <c r="H1092" i="1"/>
  <c r="I1092" i="1"/>
  <c r="A1093" i="1"/>
  <c r="B1093" i="1"/>
  <c r="C1093" i="1"/>
  <c r="D1093" i="1"/>
  <c r="E1093" i="1"/>
  <c r="F1093" i="1"/>
  <c r="G1093" i="1"/>
  <c r="H1093" i="1"/>
  <c r="I1093" i="1"/>
  <c r="A1094" i="1"/>
  <c r="B1094" i="1"/>
  <c r="C1094" i="1"/>
  <c r="D1094" i="1"/>
  <c r="E1094" i="1"/>
  <c r="F1094" i="1"/>
  <c r="G1094" i="1"/>
  <c r="H1094" i="1"/>
  <c r="I1094" i="1"/>
  <c r="A1095" i="1"/>
  <c r="B1095" i="1"/>
  <c r="C1095" i="1"/>
  <c r="D1095" i="1"/>
  <c r="E1095" i="1"/>
  <c r="F1095" i="1"/>
  <c r="G1095" i="1"/>
  <c r="H1095" i="1"/>
  <c r="I1095" i="1"/>
  <c r="A1096" i="1"/>
  <c r="B1096" i="1"/>
  <c r="C1096" i="1"/>
  <c r="D1096" i="1"/>
  <c r="E1096" i="1"/>
  <c r="F1096" i="1"/>
  <c r="G1096" i="1"/>
  <c r="H1096" i="1"/>
  <c r="I1096" i="1"/>
  <c r="A1097" i="1"/>
  <c r="B1097" i="1"/>
  <c r="C1097" i="1"/>
  <c r="D1097" i="1"/>
  <c r="E1097" i="1"/>
  <c r="F1097" i="1"/>
  <c r="G1097" i="1"/>
  <c r="H1097" i="1"/>
  <c r="I1097" i="1"/>
  <c r="A1098" i="1"/>
  <c r="B1098" i="1"/>
  <c r="C1098" i="1"/>
  <c r="D1098" i="1"/>
  <c r="E1098" i="1"/>
  <c r="F1098" i="1"/>
  <c r="G1098" i="1"/>
  <c r="H1098" i="1"/>
  <c r="I1098" i="1"/>
  <c r="A1099" i="1"/>
  <c r="B1099" i="1"/>
  <c r="C1099" i="1"/>
  <c r="D1099" i="1"/>
  <c r="E1099" i="1"/>
  <c r="F1099" i="1"/>
  <c r="G1099" i="1"/>
  <c r="H1099" i="1"/>
  <c r="I1099" i="1"/>
  <c r="A1100" i="1"/>
  <c r="B1100" i="1"/>
  <c r="C1100" i="1"/>
  <c r="D1100" i="1"/>
  <c r="E1100" i="1"/>
  <c r="F1100" i="1"/>
  <c r="G1100" i="1"/>
  <c r="H1100" i="1"/>
  <c r="I1100" i="1"/>
  <c r="A1101" i="1"/>
  <c r="B1101" i="1"/>
  <c r="C1101" i="1"/>
  <c r="D1101" i="1"/>
  <c r="E1101" i="1"/>
  <c r="F1101" i="1"/>
  <c r="G1101" i="1"/>
  <c r="H1101" i="1"/>
  <c r="I1101" i="1"/>
  <c r="A1102" i="1"/>
  <c r="B1102" i="1"/>
  <c r="C1102" i="1"/>
  <c r="D1102" i="1"/>
  <c r="E1102" i="1"/>
  <c r="F1102" i="1"/>
  <c r="G1102" i="1"/>
  <c r="H1102" i="1"/>
  <c r="I1102" i="1"/>
  <c r="A1103" i="1"/>
  <c r="B1103" i="1"/>
  <c r="C1103" i="1"/>
  <c r="D1103" i="1"/>
  <c r="E1103" i="1"/>
  <c r="F1103" i="1"/>
  <c r="G1103" i="1"/>
  <c r="H1103" i="1"/>
  <c r="I1103" i="1"/>
  <c r="A1104" i="1"/>
  <c r="B1104" i="1"/>
  <c r="C1104" i="1"/>
  <c r="D1104" i="1"/>
  <c r="E1104" i="1"/>
  <c r="F1104" i="1"/>
  <c r="G1104" i="1"/>
  <c r="H1104" i="1"/>
  <c r="I1104" i="1"/>
  <c r="A1105" i="1"/>
  <c r="B1105" i="1"/>
  <c r="C1105" i="1"/>
  <c r="D1105" i="1"/>
  <c r="E1105" i="1"/>
  <c r="F1105" i="1"/>
  <c r="G1105" i="1"/>
  <c r="H1105" i="1"/>
  <c r="I1105" i="1"/>
  <c r="A1106" i="1"/>
  <c r="B1106" i="1"/>
  <c r="C1106" i="1"/>
  <c r="D1106" i="1"/>
  <c r="E1106" i="1"/>
  <c r="F1106" i="1"/>
  <c r="G1106" i="1"/>
  <c r="H1106" i="1"/>
  <c r="I1106" i="1"/>
  <c r="A1107" i="1"/>
  <c r="B1107" i="1"/>
  <c r="C1107" i="1"/>
  <c r="D1107" i="1"/>
  <c r="E1107" i="1"/>
  <c r="F1107" i="1"/>
  <c r="G1107" i="1"/>
  <c r="H1107" i="1"/>
  <c r="I1107" i="1"/>
  <c r="A1108" i="1"/>
  <c r="B1108" i="1"/>
  <c r="C1108" i="1"/>
  <c r="D1108" i="1"/>
  <c r="E1108" i="1"/>
  <c r="F1108" i="1"/>
  <c r="G1108" i="1"/>
  <c r="H1108" i="1"/>
  <c r="I1108" i="1"/>
  <c r="A1109" i="1"/>
  <c r="B1109" i="1"/>
  <c r="C1109" i="1"/>
  <c r="D1109" i="1"/>
  <c r="E1109" i="1"/>
  <c r="F1109" i="1"/>
  <c r="G1109" i="1"/>
  <c r="H1109" i="1"/>
  <c r="I1109" i="1"/>
  <c r="A1110" i="1"/>
  <c r="B1110" i="1"/>
  <c r="C1110" i="1"/>
  <c r="D1110" i="1"/>
  <c r="E1110" i="1"/>
  <c r="F1110" i="1"/>
  <c r="G1110" i="1"/>
  <c r="H1110" i="1"/>
  <c r="I1110" i="1"/>
  <c r="A1111" i="1"/>
  <c r="B1111" i="1"/>
  <c r="C1111" i="1"/>
  <c r="D1111" i="1"/>
  <c r="E1111" i="1"/>
  <c r="F1111" i="1"/>
  <c r="G1111" i="1"/>
  <c r="H1111" i="1"/>
  <c r="I1111" i="1"/>
  <c r="A1112" i="1"/>
  <c r="B1112" i="1"/>
  <c r="C1112" i="1"/>
  <c r="D1112" i="1"/>
  <c r="E1112" i="1"/>
  <c r="F1112" i="1"/>
  <c r="G1112" i="1"/>
  <c r="H1112" i="1"/>
  <c r="I1112" i="1"/>
  <c r="A1113" i="1"/>
  <c r="B1113" i="1"/>
  <c r="C1113" i="1"/>
  <c r="D1113" i="1"/>
  <c r="E1113" i="1"/>
  <c r="F1113" i="1"/>
  <c r="G1113" i="1"/>
  <c r="H1113" i="1"/>
  <c r="I1113" i="1"/>
  <c r="A1114" i="1"/>
  <c r="B1114" i="1"/>
  <c r="C1114" i="1"/>
  <c r="D1114" i="1"/>
  <c r="E1114" i="1"/>
  <c r="F1114" i="1"/>
  <c r="G1114" i="1"/>
  <c r="H1114" i="1"/>
  <c r="I1114" i="1"/>
  <c r="A1115" i="1"/>
  <c r="B1115" i="1"/>
  <c r="C1115" i="1"/>
  <c r="D1115" i="1"/>
  <c r="E1115" i="1"/>
  <c r="F1115" i="1"/>
  <c r="G1115" i="1"/>
  <c r="H1115" i="1"/>
  <c r="I1115" i="1"/>
  <c r="A1116" i="1"/>
  <c r="B1116" i="1"/>
  <c r="C1116" i="1"/>
  <c r="D1116" i="1"/>
  <c r="E1116" i="1"/>
  <c r="F1116" i="1"/>
  <c r="G1116" i="1"/>
  <c r="H1116" i="1"/>
  <c r="I1116" i="1"/>
  <c r="A1117" i="1"/>
  <c r="B1117" i="1"/>
  <c r="C1117" i="1"/>
  <c r="D1117" i="1"/>
  <c r="E1117" i="1"/>
  <c r="F1117" i="1"/>
  <c r="G1117" i="1"/>
  <c r="H1117" i="1"/>
  <c r="I1117" i="1"/>
  <c r="A1118" i="1"/>
  <c r="B1118" i="1"/>
  <c r="C1118" i="1"/>
  <c r="D1118" i="1"/>
  <c r="E1118" i="1"/>
  <c r="F1118" i="1"/>
  <c r="G1118" i="1"/>
  <c r="H1118" i="1"/>
  <c r="I1118" i="1"/>
  <c r="A1119" i="1"/>
  <c r="B1119" i="1"/>
  <c r="C1119" i="1"/>
  <c r="D1119" i="1"/>
  <c r="E1119" i="1"/>
  <c r="F1119" i="1"/>
  <c r="G1119" i="1"/>
  <c r="H1119" i="1"/>
  <c r="I1119" i="1"/>
  <c r="A1120" i="1"/>
  <c r="B1120" i="1"/>
  <c r="C1120" i="1"/>
  <c r="D1120" i="1"/>
  <c r="E1120" i="1"/>
  <c r="F1120" i="1"/>
  <c r="G1120" i="1"/>
  <c r="H1120" i="1"/>
  <c r="I1120" i="1"/>
  <c r="A1121" i="1"/>
  <c r="B1121" i="1"/>
  <c r="C1121" i="1"/>
  <c r="D1121" i="1"/>
  <c r="E1121" i="1"/>
  <c r="F1121" i="1"/>
  <c r="G1121" i="1"/>
  <c r="H1121" i="1"/>
  <c r="I1121" i="1"/>
  <c r="A1122" i="1"/>
  <c r="B1122" i="1"/>
  <c r="C1122" i="1"/>
  <c r="D1122" i="1"/>
  <c r="E1122" i="1"/>
  <c r="F1122" i="1"/>
  <c r="G1122" i="1"/>
  <c r="H1122" i="1"/>
  <c r="I1122" i="1"/>
  <c r="A1123" i="1"/>
  <c r="B1123" i="1"/>
  <c r="C1123" i="1"/>
  <c r="D1123" i="1"/>
  <c r="E1123" i="1"/>
  <c r="F1123" i="1"/>
  <c r="G1123" i="1"/>
  <c r="H1123" i="1"/>
  <c r="I1123" i="1"/>
  <c r="A1124" i="1"/>
  <c r="B1124" i="1"/>
  <c r="C1124" i="1"/>
  <c r="D1124" i="1"/>
  <c r="E1124" i="1"/>
  <c r="F1124" i="1"/>
  <c r="G1124" i="1"/>
  <c r="H1124" i="1"/>
  <c r="I1124" i="1"/>
  <c r="A1125" i="1"/>
  <c r="B1125" i="1"/>
  <c r="C1125" i="1"/>
  <c r="D1125" i="1"/>
  <c r="E1125" i="1"/>
  <c r="F1125" i="1"/>
  <c r="G1125" i="1"/>
  <c r="H1125" i="1"/>
  <c r="I1125" i="1"/>
  <c r="A1126" i="1"/>
  <c r="B1126" i="1"/>
  <c r="C1126" i="1"/>
  <c r="D1126" i="1"/>
  <c r="E1126" i="1"/>
  <c r="F1126" i="1"/>
  <c r="G1126" i="1"/>
  <c r="H1126" i="1"/>
  <c r="I1126" i="1"/>
  <c r="A1127" i="1"/>
  <c r="B1127" i="1"/>
  <c r="C1127" i="1"/>
  <c r="D1127" i="1"/>
  <c r="E1127" i="1"/>
  <c r="F1127" i="1"/>
  <c r="G1127" i="1"/>
  <c r="H1127" i="1"/>
  <c r="I1127" i="1"/>
  <c r="A1128" i="1"/>
  <c r="B1128" i="1"/>
  <c r="C1128" i="1"/>
  <c r="D1128" i="1"/>
  <c r="E1128" i="1"/>
  <c r="F1128" i="1"/>
  <c r="G1128" i="1"/>
  <c r="H1128" i="1"/>
  <c r="I1128" i="1"/>
  <c r="A1129" i="1"/>
  <c r="B1129" i="1"/>
  <c r="C1129" i="1"/>
  <c r="D1129" i="1"/>
  <c r="E1129" i="1"/>
  <c r="F1129" i="1"/>
  <c r="G1129" i="1"/>
  <c r="H1129" i="1"/>
  <c r="I1129" i="1"/>
  <c r="A1130" i="1"/>
  <c r="B1130" i="1"/>
  <c r="C1130" i="1"/>
  <c r="D1130" i="1"/>
  <c r="E1130" i="1"/>
  <c r="F1130" i="1"/>
  <c r="G1130" i="1"/>
  <c r="H1130" i="1"/>
  <c r="I1130" i="1"/>
  <c r="A1131" i="1"/>
  <c r="B1131" i="1"/>
  <c r="C1131" i="1"/>
  <c r="D1131" i="1"/>
  <c r="E1131" i="1"/>
  <c r="F1131" i="1"/>
  <c r="G1131" i="1"/>
  <c r="H1131" i="1"/>
  <c r="I1131" i="1"/>
  <c r="A1132" i="1"/>
  <c r="B1132" i="1"/>
  <c r="C1132" i="1"/>
  <c r="D1132" i="1"/>
  <c r="E1132" i="1"/>
  <c r="F1132" i="1"/>
  <c r="G1132" i="1"/>
  <c r="H1132" i="1"/>
  <c r="I1132" i="1"/>
  <c r="A1133" i="1"/>
  <c r="B1133" i="1"/>
  <c r="C1133" i="1"/>
  <c r="D1133" i="1"/>
  <c r="E1133" i="1"/>
  <c r="F1133" i="1"/>
  <c r="G1133" i="1"/>
  <c r="H1133" i="1"/>
  <c r="I1133" i="1"/>
  <c r="A1134" i="1"/>
  <c r="B1134" i="1"/>
  <c r="C1134" i="1"/>
  <c r="D1134" i="1"/>
  <c r="E1134" i="1"/>
  <c r="F1134" i="1"/>
  <c r="G1134" i="1"/>
  <c r="H1134" i="1"/>
  <c r="I1134" i="1"/>
  <c r="A1135" i="1"/>
  <c r="B1135" i="1"/>
  <c r="C1135" i="1"/>
  <c r="D1135" i="1"/>
  <c r="E1135" i="1"/>
  <c r="F1135" i="1"/>
  <c r="G1135" i="1"/>
  <c r="H1135" i="1"/>
  <c r="I1135" i="1"/>
  <c r="A1136" i="1"/>
  <c r="B1136" i="1"/>
  <c r="C1136" i="1"/>
  <c r="D1136" i="1"/>
  <c r="E1136" i="1"/>
  <c r="F1136" i="1"/>
  <c r="G1136" i="1"/>
  <c r="H1136" i="1"/>
  <c r="I1136" i="1"/>
  <c r="A1137" i="1"/>
  <c r="B1137" i="1"/>
  <c r="C1137" i="1"/>
  <c r="D1137" i="1"/>
  <c r="E1137" i="1"/>
  <c r="F1137" i="1"/>
  <c r="G1137" i="1"/>
  <c r="H1137" i="1"/>
  <c r="I1137" i="1"/>
  <c r="A1138" i="1"/>
  <c r="B1138" i="1"/>
  <c r="C1138" i="1"/>
  <c r="D1138" i="1"/>
  <c r="E1138" i="1"/>
  <c r="F1138" i="1"/>
  <c r="G1138" i="1"/>
  <c r="H1138" i="1"/>
  <c r="I1138" i="1"/>
  <c r="A1139" i="1"/>
  <c r="B1139" i="1"/>
  <c r="C1139" i="1"/>
  <c r="D1139" i="1"/>
  <c r="E1139" i="1"/>
  <c r="F1139" i="1"/>
  <c r="G1139" i="1"/>
  <c r="H1139" i="1"/>
  <c r="I1139" i="1"/>
  <c r="A1140" i="1"/>
  <c r="B1140" i="1"/>
  <c r="C1140" i="1"/>
  <c r="D1140" i="1"/>
  <c r="E1140" i="1"/>
  <c r="F1140" i="1"/>
  <c r="G1140" i="1"/>
  <c r="H1140" i="1"/>
  <c r="I1140" i="1"/>
  <c r="A1141" i="1"/>
  <c r="B1141" i="1"/>
  <c r="C1141" i="1"/>
  <c r="D1141" i="1"/>
  <c r="E1141" i="1"/>
  <c r="F1141" i="1"/>
  <c r="G1141" i="1"/>
  <c r="H1141" i="1"/>
  <c r="I1141" i="1"/>
  <c r="A1142" i="1"/>
  <c r="B1142" i="1"/>
  <c r="C1142" i="1"/>
  <c r="D1142" i="1"/>
  <c r="E1142" i="1"/>
  <c r="F1142" i="1"/>
  <c r="G1142" i="1"/>
  <c r="H1142" i="1"/>
  <c r="I1142" i="1"/>
  <c r="A1143" i="1"/>
  <c r="B1143" i="1"/>
  <c r="C1143" i="1"/>
  <c r="D1143" i="1"/>
  <c r="E1143" i="1"/>
  <c r="F1143" i="1"/>
  <c r="G1143" i="1"/>
  <c r="H1143" i="1"/>
  <c r="I1143" i="1"/>
  <c r="A1144" i="1"/>
  <c r="B1144" i="1"/>
  <c r="C1144" i="1"/>
  <c r="D1144" i="1"/>
  <c r="E1144" i="1"/>
  <c r="F1144" i="1"/>
  <c r="G1144" i="1"/>
  <c r="H1144" i="1"/>
  <c r="I1144" i="1"/>
  <c r="A1145" i="1"/>
  <c r="B1145" i="1"/>
  <c r="C1145" i="1"/>
  <c r="D1145" i="1"/>
  <c r="E1145" i="1"/>
  <c r="F1145" i="1"/>
  <c r="G1145" i="1"/>
  <c r="H1145" i="1"/>
  <c r="I1145" i="1"/>
  <c r="A1146" i="1"/>
  <c r="B1146" i="1"/>
  <c r="C1146" i="1"/>
  <c r="D1146" i="1"/>
  <c r="E1146" i="1"/>
  <c r="F1146" i="1"/>
  <c r="G1146" i="1"/>
  <c r="H1146" i="1"/>
  <c r="I1146" i="1"/>
  <c r="A1147" i="1"/>
  <c r="B1147" i="1"/>
  <c r="C1147" i="1"/>
  <c r="D1147" i="1"/>
  <c r="E1147" i="1"/>
  <c r="F1147" i="1"/>
  <c r="G1147" i="1"/>
  <c r="H1147" i="1"/>
  <c r="I1147" i="1"/>
  <c r="A1148" i="1"/>
  <c r="B1148" i="1"/>
  <c r="C1148" i="1"/>
  <c r="D1148" i="1"/>
  <c r="E1148" i="1"/>
  <c r="F1148" i="1"/>
  <c r="G1148" i="1"/>
  <c r="H1148" i="1"/>
  <c r="I1148" i="1"/>
  <c r="A1149" i="1"/>
  <c r="B1149" i="1"/>
  <c r="C1149" i="1"/>
  <c r="D1149" i="1"/>
  <c r="E1149" i="1"/>
  <c r="F1149" i="1"/>
  <c r="G1149" i="1"/>
  <c r="H1149" i="1"/>
  <c r="I1149" i="1"/>
  <c r="A1150" i="1"/>
  <c r="B1150" i="1"/>
  <c r="C1150" i="1"/>
  <c r="D1150" i="1"/>
  <c r="E1150" i="1"/>
  <c r="F1150" i="1"/>
  <c r="G1150" i="1"/>
  <c r="H1150" i="1"/>
  <c r="I1150" i="1"/>
  <c r="A1151" i="1"/>
  <c r="B1151" i="1"/>
  <c r="C1151" i="1"/>
  <c r="D1151" i="1"/>
  <c r="E1151" i="1"/>
  <c r="F1151" i="1"/>
  <c r="G1151" i="1"/>
  <c r="H1151" i="1"/>
  <c r="I1151" i="1"/>
  <c r="A1152" i="1"/>
  <c r="B1152" i="1"/>
  <c r="C1152" i="1"/>
  <c r="D1152" i="1"/>
  <c r="E1152" i="1"/>
  <c r="F1152" i="1"/>
  <c r="G1152" i="1"/>
  <c r="H1152" i="1"/>
  <c r="I1152" i="1"/>
  <c r="A1153" i="1"/>
  <c r="B1153" i="1"/>
  <c r="C1153" i="1"/>
  <c r="D1153" i="1"/>
  <c r="E1153" i="1"/>
  <c r="F1153" i="1"/>
  <c r="G1153" i="1"/>
  <c r="H1153" i="1"/>
  <c r="I1153" i="1"/>
  <c r="A1154" i="1"/>
  <c r="B1154" i="1"/>
  <c r="C1154" i="1"/>
  <c r="D1154" i="1"/>
  <c r="E1154" i="1"/>
  <c r="F1154" i="1"/>
  <c r="G1154" i="1"/>
  <c r="H1154" i="1"/>
  <c r="I1154" i="1"/>
  <c r="A1155" i="1"/>
  <c r="B1155" i="1"/>
  <c r="C1155" i="1"/>
  <c r="D1155" i="1"/>
  <c r="E1155" i="1"/>
  <c r="F1155" i="1"/>
  <c r="G1155" i="1"/>
  <c r="H1155" i="1"/>
  <c r="I1155" i="1"/>
  <c r="A1156" i="1"/>
  <c r="B1156" i="1"/>
  <c r="C1156" i="1"/>
  <c r="D1156" i="1"/>
  <c r="E1156" i="1"/>
  <c r="F1156" i="1"/>
  <c r="G1156" i="1"/>
  <c r="H1156" i="1"/>
  <c r="I1156" i="1"/>
  <c r="A1157" i="1"/>
  <c r="B1157" i="1"/>
  <c r="C1157" i="1"/>
  <c r="D1157" i="1"/>
  <c r="E1157" i="1"/>
  <c r="F1157" i="1"/>
  <c r="G1157" i="1"/>
  <c r="H1157" i="1"/>
  <c r="I1157" i="1"/>
  <c r="A1158" i="1"/>
  <c r="B1158" i="1"/>
  <c r="C1158" i="1"/>
  <c r="D1158" i="1"/>
  <c r="E1158" i="1"/>
  <c r="F1158" i="1"/>
  <c r="G1158" i="1"/>
  <c r="H1158" i="1"/>
  <c r="I1158" i="1"/>
  <c r="A1159" i="1"/>
  <c r="B1159" i="1"/>
  <c r="C1159" i="1"/>
  <c r="D1159" i="1"/>
  <c r="E1159" i="1"/>
  <c r="F1159" i="1"/>
  <c r="G1159" i="1"/>
  <c r="H1159" i="1"/>
  <c r="I1159" i="1"/>
  <c r="A1160" i="1"/>
  <c r="B1160" i="1"/>
  <c r="C1160" i="1"/>
  <c r="D1160" i="1"/>
  <c r="E1160" i="1"/>
  <c r="F1160" i="1"/>
  <c r="G1160" i="1"/>
  <c r="H1160" i="1"/>
  <c r="I1160" i="1"/>
  <c r="A1161" i="1"/>
  <c r="B1161" i="1"/>
  <c r="C1161" i="1"/>
  <c r="D1161" i="1"/>
  <c r="E1161" i="1"/>
  <c r="F1161" i="1"/>
  <c r="G1161" i="1"/>
  <c r="H1161" i="1"/>
  <c r="I1161" i="1"/>
  <c r="A1162" i="1"/>
  <c r="B1162" i="1"/>
  <c r="C1162" i="1"/>
  <c r="D1162" i="1"/>
  <c r="E1162" i="1"/>
  <c r="F1162" i="1"/>
  <c r="G1162" i="1"/>
  <c r="H1162" i="1"/>
  <c r="I1162" i="1"/>
  <c r="A1163" i="1"/>
  <c r="B1163" i="1"/>
  <c r="C1163" i="1"/>
  <c r="D1163" i="1"/>
  <c r="E1163" i="1"/>
  <c r="F1163" i="1"/>
  <c r="G1163" i="1"/>
  <c r="H1163" i="1"/>
  <c r="I1163" i="1"/>
  <c r="A1164" i="1"/>
  <c r="B1164" i="1"/>
  <c r="C1164" i="1"/>
  <c r="D1164" i="1"/>
  <c r="E1164" i="1"/>
  <c r="F1164" i="1"/>
  <c r="G1164" i="1"/>
  <c r="H1164" i="1"/>
  <c r="I1164" i="1"/>
  <c r="A1165" i="1"/>
  <c r="B1165" i="1"/>
  <c r="C1165" i="1"/>
  <c r="D1165" i="1"/>
  <c r="E1165" i="1"/>
  <c r="F1165" i="1"/>
  <c r="G1165" i="1"/>
  <c r="H1165" i="1"/>
  <c r="I1165" i="1"/>
  <c r="A1166" i="1"/>
  <c r="B1166" i="1"/>
  <c r="C1166" i="1"/>
  <c r="D1166" i="1"/>
  <c r="E1166" i="1"/>
  <c r="F1166" i="1"/>
  <c r="G1166" i="1"/>
  <c r="H1166" i="1"/>
  <c r="I1166" i="1"/>
  <c r="A1167" i="1"/>
  <c r="B1167" i="1"/>
  <c r="C1167" i="1"/>
  <c r="D1167" i="1"/>
  <c r="E1167" i="1"/>
  <c r="F1167" i="1"/>
  <c r="G1167" i="1"/>
  <c r="H1167" i="1"/>
  <c r="I1167" i="1"/>
  <c r="A1168" i="1"/>
  <c r="B1168" i="1"/>
  <c r="C1168" i="1"/>
  <c r="D1168" i="1"/>
  <c r="E1168" i="1"/>
  <c r="F1168" i="1"/>
  <c r="G1168" i="1"/>
  <c r="H1168" i="1"/>
  <c r="I1168" i="1"/>
  <c r="A1169" i="1"/>
  <c r="B1169" i="1"/>
  <c r="C1169" i="1"/>
  <c r="D1169" i="1"/>
  <c r="E1169" i="1"/>
  <c r="F1169" i="1"/>
  <c r="G1169" i="1"/>
  <c r="H1169" i="1"/>
  <c r="I1169" i="1"/>
  <c r="A1170" i="1"/>
  <c r="B1170" i="1"/>
  <c r="C1170" i="1"/>
  <c r="D1170" i="1"/>
  <c r="E1170" i="1"/>
  <c r="F1170" i="1"/>
  <c r="G1170" i="1"/>
  <c r="H1170" i="1"/>
  <c r="I1170" i="1"/>
  <c r="A1171" i="1"/>
  <c r="B1171" i="1"/>
  <c r="C1171" i="1"/>
  <c r="D1171" i="1"/>
  <c r="E1171" i="1"/>
  <c r="F1171" i="1"/>
  <c r="G1171" i="1"/>
  <c r="H1171" i="1"/>
  <c r="I1171" i="1"/>
  <c r="A1172" i="1"/>
  <c r="B1172" i="1"/>
  <c r="C1172" i="1"/>
  <c r="D1172" i="1"/>
  <c r="E1172" i="1"/>
  <c r="F1172" i="1"/>
  <c r="G1172" i="1"/>
  <c r="H1172" i="1"/>
  <c r="I1172" i="1"/>
  <c r="A1173" i="1"/>
  <c r="B1173" i="1"/>
  <c r="C1173" i="1"/>
  <c r="D1173" i="1"/>
  <c r="E1173" i="1"/>
  <c r="F1173" i="1"/>
  <c r="G1173" i="1"/>
  <c r="H1173" i="1"/>
  <c r="I1173" i="1"/>
  <c r="A1174" i="1"/>
  <c r="B1174" i="1"/>
  <c r="C1174" i="1"/>
  <c r="D1174" i="1"/>
  <c r="E1174" i="1"/>
  <c r="F1174" i="1"/>
  <c r="G1174" i="1"/>
  <c r="H1174" i="1"/>
  <c r="I1174" i="1"/>
  <c r="A1175" i="1"/>
  <c r="B1175" i="1"/>
  <c r="C1175" i="1"/>
  <c r="D1175" i="1"/>
  <c r="E1175" i="1"/>
  <c r="F1175" i="1"/>
  <c r="G1175" i="1"/>
  <c r="H1175" i="1"/>
  <c r="I1175" i="1"/>
  <c r="A1176" i="1"/>
  <c r="B1176" i="1"/>
  <c r="C1176" i="1"/>
  <c r="D1176" i="1"/>
  <c r="E1176" i="1"/>
  <c r="F1176" i="1"/>
  <c r="G1176" i="1"/>
  <c r="H1176" i="1"/>
  <c r="I1176" i="1"/>
  <c r="A1177" i="1"/>
  <c r="B1177" i="1"/>
  <c r="C1177" i="1"/>
  <c r="D1177" i="1"/>
  <c r="E1177" i="1"/>
  <c r="F1177" i="1"/>
  <c r="G1177" i="1"/>
  <c r="H1177" i="1"/>
  <c r="I1177" i="1"/>
  <c r="A1178" i="1"/>
  <c r="B1178" i="1"/>
  <c r="C1178" i="1"/>
  <c r="D1178" i="1"/>
  <c r="E1178" i="1"/>
  <c r="F1178" i="1"/>
  <c r="G1178" i="1"/>
  <c r="H1178" i="1"/>
  <c r="I1178" i="1"/>
  <c r="A1179" i="1"/>
  <c r="B1179" i="1"/>
  <c r="C1179" i="1"/>
  <c r="D1179" i="1"/>
  <c r="E1179" i="1"/>
  <c r="F1179" i="1"/>
  <c r="G1179" i="1"/>
  <c r="H1179" i="1"/>
  <c r="I1179" i="1"/>
  <c r="A1180" i="1"/>
  <c r="B1180" i="1"/>
  <c r="C1180" i="1"/>
  <c r="D1180" i="1"/>
  <c r="E1180" i="1"/>
  <c r="F1180" i="1"/>
  <c r="G1180" i="1"/>
  <c r="H1180" i="1"/>
  <c r="I1180" i="1"/>
  <c r="A1181" i="1"/>
  <c r="B1181" i="1"/>
  <c r="C1181" i="1"/>
  <c r="D1181" i="1"/>
  <c r="E1181" i="1"/>
  <c r="F1181" i="1"/>
  <c r="G1181" i="1"/>
  <c r="H1181" i="1"/>
  <c r="I1181" i="1"/>
  <c r="A1182" i="1"/>
  <c r="B1182" i="1"/>
  <c r="C1182" i="1"/>
  <c r="D1182" i="1"/>
  <c r="E1182" i="1"/>
  <c r="F1182" i="1"/>
  <c r="G1182" i="1"/>
  <c r="H1182" i="1"/>
  <c r="I1182" i="1"/>
  <c r="A1183" i="1"/>
  <c r="B1183" i="1"/>
  <c r="C1183" i="1"/>
  <c r="D1183" i="1"/>
  <c r="E1183" i="1"/>
  <c r="F1183" i="1"/>
  <c r="G1183" i="1"/>
  <c r="H1183" i="1"/>
  <c r="I1183" i="1"/>
  <c r="A1184" i="1"/>
  <c r="B1184" i="1"/>
  <c r="C1184" i="1"/>
  <c r="D1184" i="1"/>
  <c r="E1184" i="1"/>
  <c r="F1184" i="1"/>
  <c r="G1184" i="1"/>
  <c r="H1184" i="1"/>
  <c r="I1184" i="1"/>
  <c r="A1185" i="1"/>
  <c r="B1185" i="1"/>
  <c r="C1185" i="1"/>
  <c r="D1185" i="1"/>
  <c r="E1185" i="1"/>
  <c r="F1185" i="1"/>
  <c r="G1185" i="1"/>
  <c r="H1185" i="1"/>
  <c r="I1185" i="1"/>
  <c r="A1186" i="1"/>
  <c r="B1186" i="1"/>
  <c r="C1186" i="1"/>
  <c r="D1186" i="1"/>
  <c r="E1186" i="1"/>
  <c r="F1186" i="1"/>
  <c r="G1186" i="1"/>
  <c r="H1186" i="1"/>
  <c r="I1186" i="1"/>
  <c r="A1187" i="1"/>
  <c r="B1187" i="1"/>
  <c r="C1187" i="1"/>
  <c r="D1187" i="1"/>
  <c r="E1187" i="1"/>
  <c r="F1187" i="1"/>
  <c r="G1187" i="1"/>
  <c r="H1187" i="1"/>
  <c r="I1187" i="1"/>
  <c r="A1188" i="1"/>
  <c r="B1188" i="1"/>
  <c r="C1188" i="1"/>
  <c r="D1188" i="1"/>
  <c r="E1188" i="1"/>
  <c r="F1188" i="1"/>
  <c r="G1188" i="1"/>
  <c r="H1188" i="1"/>
  <c r="I1188" i="1"/>
  <c r="A1189" i="1"/>
  <c r="B1189" i="1"/>
  <c r="C1189" i="1"/>
  <c r="D1189" i="1"/>
  <c r="E1189" i="1"/>
  <c r="F1189" i="1"/>
  <c r="G1189" i="1"/>
  <c r="H1189" i="1"/>
  <c r="I1189" i="1"/>
  <c r="A1190" i="1"/>
  <c r="B1190" i="1"/>
  <c r="C1190" i="1"/>
  <c r="D1190" i="1"/>
  <c r="E1190" i="1"/>
  <c r="F1190" i="1"/>
  <c r="G1190" i="1"/>
  <c r="H1190" i="1"/>
  <c r="I1190" i="1"/>
  <c r="A1191" i="1"/>
  <c r="B1191" i="1"/>
  <c r="C1191" i="1"/>
  <c r="D1191" i="1"/>
  <c r="E1191" i="1"/>
  <c r="F1191" i="1"/>
  <c r="G1191" i="1"/>
  <c r="H1191" i="1"/>
  <c r="I1191" i="1"/>
  <c r="A1192" i="1"/>
  <c r="B1192" i="1"/>
  <c r="C1192" i="1"/>
  <c r="D1192" i="1"/>
  <c r="E1192" i="1"/>
  <c r="F1192" i="1"/>
  <c r="G1192" i="1"/>
  <c r="H1192" i="1"/>
  <c r="I1192" i="1"/>
  <c r="A1193" i="1"/>
  <c r="B1193" i="1"/>
  <c r="C1193" i="1"/>
  <c r="D1193" i="1"/>
  <c r="E1193" i="1"/>
  <c r="F1193" i="1"/>
  <c r="G1193" i="1"/>
  <c r="H1193" i="1"/>
  <c r="I1193" i="1"/>
  <c r="A1194" i="1"/>
  <c r="B1194" i="1"/>
  <c r="C1194" i="1"/>
  <c r="D1194" i="1"/>
  <c r="E1194" i="1"/>
  <c r="F1194" i="1"/>
  <c r="G1194" i="1"/>
  <c r="H1194" i="1"/>
  <c r="I1194" i="1"/>
  <c r="A1195" i="1"/>
  <c r="B1195" i="1"/>
  <c r="C1195" i="1"/>
  <c r="D1195" i="1"/>
  <c r="E1195" i="1"/>
  <c r="F1195" i="1"/>
  <c r="G1195" i="1"/>
  <c r="H1195" i="1"/>
  <c r="I1195" i="1"/>
  <c r="A1196" i="1"/>
  <c r="B1196" i="1"/>
  <c r="C1196" i="1"/>
  <c r="D1196" i="1"/>
  <c r="E1196" i="1"/>
  <c r="F1196" i="1"/>
  <c r="G1196" i="1"/>
  <c r="H1196" i="1"/>
  <c r="I1196" i="1"/>
  <c r="A1197" i="1"/>
  <c r="B1197" i="1"/>
  <c r="C1197" i="1"/>
  <c r="D1197" i="1"/>
  <c r="E1197" i="1"/>
  <c r="F1197" i="1"/>
  <c r="G1197" i="1"/>
  <c r="H1197" i="1"/>
  <c r="I1197" i="1"/>
  <c r="A1198" i="1"/>
  <c r="B1198" i="1"/>
  <c r="C1198" i="1"/>
  <c r="D1198" i="1"/>
  <c r="E1198" i="1"/>
  <c r="F1198" i="1"/>
  <c r="G1198" i="1"/>
  <c r="H1198" i="1"/>
  <c r="I1198" i="1"/>
  <c r="A1199" i="1"/>
  <c r="B1199" i="1"/>
  <c r="C1199" i="1"/>
  <c r="D1199" i="1"/>
  <c r="E1199" i="1"/>
  <c r="F1199" i="1"/>
  <c r="G1199" i="1"/>
  <c r="H1199" i="1"/>
  <c r="I1199" i="1"/>
  <c r="A1200" i="1"/>
  <c r="B1200" i="1"/>
  <c r="C1200" i="1"/>
  <c r="D1200" i="1"/>
  <c r="E1200" i="1"/>
  <c r="F1200" i="1"/>
  <c r="G1200" i="1"/>
  <c r="H1200" i="1"/>
  <c r="I1200" i="1"/>
  <c r="A1201" i="1"/>
  <c r="B1201" i="1"/>
  <c r="C1201" i="1"/>
  <c r="D1201" i="1"/>
  <c r="E1201" i="1"/>
  <c r="F1201" i="1"/>
  <c r="G1201" i="1"/>
  <c r="H1201" i="1"/>
  <c r="I1201" i="1"/>
  <c r="A1202" i="1"/>
  <c r="B1202" i="1"/>
  <c r="C1202" i="1"/>
  <c r="D1202" i="1"/>
  <c r="E1202" i="1"/>
  <c r="F1202" i="1"/>
  <c r="G1202" i="1"/>
  <c r="H1202" i="1"/>
  <c r="I1202" i="1"/>
  <c r="A1203" i="1"/>
  <c r="B1203" i="1"/>
  <c r="C1203" i="1"/>
  <c r="D1203" i="1"/>
  <c r="E1203" i="1"/>
  <c r="F1203" i="1"/>
  <c r="G1203" i="1"/>
  <c r="H1203" i="1"/>
  <c r="I1203" i="1"/>
  <c r="A1204" i="1"/>
  <c r="B1204" i="1"/>
  <c r="C1204" i="1"/>
  <c r="D1204" i="1"/>
  <c r="E1204" i="1"/>
  <c r="F1204" i="1"/>
  <c r="G1204" i="1"/>
  <c r="H1204" i="1"/>
  <c r="I1204" i="1"/>
  <c r="A1205" i="1"/>
  <c r="B1205" i="1"/>
  <c r="C1205" i="1"/>
  <c r="D1205" i="1"/>
  <c r="E1205" i="1"/>
  <c r="F1205" i="1"/>
  <c r="G1205" i="1"/>
  <c r="H1205" i="1"/>
  <c r="I1205" i="1"/>
  <c r="A1206" i="1"/>
  <c r="B1206" i="1"/>
  <c r="C1206" i="1"/>
  <c r="D1206" i="1"/>
  <c r="E1206" i="1"/>
  <c r="F1206" i="1"/>
  <c r="G1206" i="1"/>
  <c r="H1206" i="1"/>
  <c r="I1206" i="1"/>
  <c r="A1207" i="1"/>
  <c r="B1207" i="1"/>
  <c r="C1207" i="1"/>
  <c r="D1207" i="1"/>
  <c r="E1207" i="1"/>
  <c r="F1207" i="1"/>
  <c r="G1207" i="1"/>
  <c r="H1207" i="1"/>
  <c r="I1207" i="1"/>
  <c r="A1208" i="1"/>
  <c r="B1208" i="1"/>
  <c r="C1208" i="1"/>
  <c r="D1208" i="1"/>
  <c r="E1208" i="1"/>
  <c r="F1208" i="1"/>
  <c r="G1208" i="1"/>
  <c r="H1208" i="1"/>
  <c r="I1208" i="1"/>
  <c r="A1209" i="1"/>
  <c r="B1209" i="1"/>
  <c r="C1209" i="1"/>
  <c r="D1209" i="1"/>
  <c r="E1209" i="1"/>
  <c r="F1209" i="1"/>
  <c r="G1209" i="1"/>
  <c r="H1209" i="1"/>
  <c r="I1209" i="1"/>
  <c r="A1210" i="1"/>
  <c r="B1210" i="1"/>
  <c r="C1210" i="1"/>
  <c r="D1210" i="1"/>
  <c r="E1210" i="1"/>
  <c r="F1210" i="1"/>
  <c r="G1210" i="1"/>
  <c r="H1210" i="1"/>
  <c r="I1210" i="1"/>
  <c r="A1211" i="1"/>
  <c r="B1211" i="1"/>
  <c r="C1211" i="1"/>
  <c r="D1211" i="1"/>
  <c r="E1211" i="1"/>
  <c r="F1211" i="1"/>
  <c r="G1211" i="1"/>
  <c r="H1211" i="1"/>
  <c r="I1211" i="1"/>
  <c r="A1212" i="1"/>
  <c r="B1212" i="1"/>
  <c r="C1212" i="1"/>
  <c r="D1212" i="1"/>
  <c r="E1212" i="1"/>
  <c r="F1212" i="1"/>
  <c r="G1212" i="1"/>
  <c r="H1212" i="1"/>
  <c r="I1212" i="1"/>
  <c r="A1213" i="1"/>
  <c r="B1213" i="1"/>
  <c r="C1213" i="1"/>
  <c r="D1213" i="1"/>
  <c r="E1213" i="1"/>
  <c r="F1213" i="1"/>
  <c r="G1213" i="1"/>
  <c r="H1213" i="1"/>
  <c r="I1213" i="1"/>
  <c r="A1214" i="1"/>
  <c r="B1214" i="1"/>
  <c r="C1214" i="1"/>
  <c r="D1214" i="1"/>
  <c r="E1214" i="1"/>
  <c r="F1214" i="1"/>
  <c r="G1214" i="1"/>
  <c r="H1214" i="1"/>
  <c r="I1214" i="1"/>
  <c r="A1215" i="1"/>
  <c r="B1215" i="1"/>
  <c r="C1215" i="1"/>
  <c r="D1215" i="1"/>
  <c r="E1215" i="1"/>
  <c r="F1215" i="1"/>
  <c r="G1215" i="1"/>
  <c r="H1215" i="1"/>
  <c r="I1215" i="1"/>
  <c r="A1216" i="1"/>
  <c r="B1216" i="1"/>
  <c r="C1216" i="1"/>
  <c r="D1216" i="1"/>
  <c r="E1216" i="1"/>
  <c r="F1216" i="1"/>
  <c r="G1216" i="1"/>
  <c r="H1216" i="1"/>
  <c r="I1216" i="1"/>
  <c r="A1217" i="1"/>
  <c r="B1217" i="1"/>
  <c r="C1217" i="1"/>
  <c r="D1217" i="1"/>
  <c r="E1217" i="1"/>
  <c r="F1217" i="1"/>
  <c r="G1217" i="1"/>
  <c r="H1217" i="1"/>
  <c r="I1217" i="1"/>
  <c r="A1218" i="1"/>
  <c r="B1218" i="1"/>
  <c r="C1218" i="1"/>
  <c r="D1218" i="1"/>
  <c r="E1218" i="1"/>
  <c r="F1218" i="1"/>
  <c r="G1218" i="1"/>
  <c r="H1218" i="1"/>
  <c r="I1218" i="1"/>
  <c r="A1219" i="1"/>
  <c r="B1219" i="1"/>
  <c r="C1219" i="1"/>
  <c r="D1219" i="1"/>
  <c r="E1219" i="1"/>
  <c r="F1219" i="1"/>
  <c r="G1219" i="1"/>
  <c r="H1219" i="1"/>
  <c r="I1219" i="1"/>
  <c r="A1220" i="1"/>
  <c r="B1220" i="1"/>
  <c r="C1220" i="1"/>
  <c r="D1220" i="1"/>
  <c r="E1220" i="1"/>
  <c r="F1220" i="1"/>
  <c r="G1220" i="1"/>
  <c r="H1220" i="1"/>
  <c r="I1220" i="1"/>
  <c r="A1221" i="1"/>
  <c r="B1221" i="1"/>
  <c r="C1221" i="1"/>
  <c r="D1221" i="1"/>
  <c r="E1221" i="1"/>
  <c r="F1221" i="1"/>
  <c r="G1221" i="1"/>
  <c r="H1221" i="1"/>
  <c r="I1221" i="1"/>
  <c r="A1222" i="1"/>
  <c r="B1222" i="1"/>
  <c r="C1222" i="1"/>
  <c r="D1222" i="1"/>
  <c r="E1222" i="1"/>
  <c r="F1222" i="1"/>
  <c r="G1222" i="1"/>
  <c r="H1222" i="1"/>
  <c r="I1222" i="1"/>
  <c r="A1223" i="1"/>
  <c r="B1223" i="1"/>
  <c r="C1223" i="1"/>
  <c r="D1223" i="1"/>
  <c r="E1223" i="1"/>
  <c r="F1223" i="1"/>
  <c r="G1223" i="1"/>
  <c r="H1223" i="1"/>
  <c r="I1223" i="1"/>
  <c r="A1224" i="1"/>
  <c r="B1224" i="1"/>
  <c r="C1224" i="1"/>
  <c r="D1224" i="1"/>
  <c r="E1224" i="1"/>
  <c r="F1224" i="1"/>
  <c r="G1224" i="1"/>
  <c r="H1224" i="1"/>
  <c r="I1224" i="1"/>
  <c r="A1225" i="1"/>
  <c r="B1225" i="1"/>
  <c r="C1225" i="1"/>
  <c r="D1225" i="1"/>
  <c r="E1225" i="1"/>
  <c r="F1225" i="1"/>
  <c r="G1225" i="1"/>
  <c r="H1225" i="1"/>
  <c r="I1225" i="1"/>
  <c r="A1226" i="1"/>
  <c r="B1226" i="1"/>
  <c r="C1226" i="1"/>
  <c r="D1226" i="1"/>
  <c r="E1226" i="1"/>
  <c r="F1226" i="1"/>
  <c r="G1226" i="1"/>
  <c r="H1226" i="1"/>
  <c r="I1226" i="1"/>
  <c r="A1227" i="1"/>
  <c r="B1227" i="1"/>
  <c r="C1227" i="1"/>
  <c r="D1227" i="1"/>
  <c r="E1227" i="1"/>
  <c r="F1227" i="1"/>
  <c r="G1227" i="1"/>
  <c r="H1227" i="1"/>
  <c r="I1227" i="1"/>
  <c r="A1228" i="1"/>
  <c r="B1228" i="1"/>
  <c r="C1228" i="1"/>
  <c r="D1228" i="1"/>
  <c r="E1228" i="1"/>
  <c r="F1228" i="1"/>
  <c r="G1228" i="1"/>
  <c r="H1228" i="1"/>
  <c r="I1228" i="1"/>
  <c r="A1229" i="1"/>
  <c r="B1229" i="1"/>
  <c r="C1229" i="1"/>
  <c r="D1229" i="1"/>
  <c r="E1229" i="1"/>
  <c r="F1229" i="1"/>
  <c r="G1229" i="1"/>
  <c r="H1229" i="1"/>
  <c r="I1229" i="1"/>
  <c r="A1230" i="1"/>
  <c r="B1230" i="1"/>
  <c r="C1230" i="1"/>
  <c r="D1230" i="1"/>
  <c r="E1230" i="1"/>
  <c r="F1230" i="1"/>
  <c r="G1230" i="1"/>
  <c r="H1230" i="1"/>
  <c r="I1230" i="1"/>
  <c r="A1231" i="1"/>
  <c r="B1231" i="1"/>
  <c r="C1231" i="1"/>
  <c r="D1231" i="1"/>
  <c r="E1231" i="1"/>
  <c r="F1231" i="1"/>
  <c r="G1231" i="1"/>
  <c r="H1231" i="1"/>
  <c r="I1231" i="1"/>
  <c r="A1232" i="1"/>
  <c r="B1232" i="1"/>
  <c r="C1232" i="1"/>
  <c r="D1232" i="1"/>
  <c r="E1232" i="1"/>
  <c r="F1232" i="1"/>
  <c r="G1232" i="1"/>
  <c r="H1232" i="1"/>
  <c r="I1232" i="1"/>
  <c r="A1233" i="1"/>
  <c r="B1233" i="1"/>
  <c r="C1233" i="1"/>
  <c r="D1233" i="1"/>
  <c r="E1233" i="1"/>
  <c r="F1233" i="1"/>
  <c r="G1233" i="1"/>
  <c r="H1233" i="1"/>
  <c r="I1233" i="1"/>
  <c r="A1234" i="1"/>
  <c r="B1234" i="1"/>
  <c r="C1234" i="1"/>
  <c r="D1234" i="1"/>
  <c r="E1234" i="1"/>
  <c r="F1234" i="1"/>
  <c r="G1234" i="1"/>
  <c r="H1234" i="1"/>
  <c r="I1234" i="1"/>
  <c r="A1235" i="1"/>
  <c r="B1235" i="1"/>
  <c r="C1235" i="1"/>
  <c r="D1235" i="1"/>
  <c r="E1235" i="1"/>
  <c r="F1235" i="1"/>
  <c r="G1235" i="1"/>
  <c r="H1235" i="1"/>
  <c r="I1235" i="1"/>
  <c r="A1236" i="1"/>
  <c r="B1236" i="1"/>
  <c r="C1236" i="1"/>
  <c r="D1236" i="1"/>
  <c r="E1236" i="1"/>
  <c r="F1236" i="1"/>
  <c r="G1236" i="1"/>
  <c r="H1236" i="1"/>
  <c r="I1236" i="1"/>
  <c r="A1237" i="1"/>
  <c r="B1237" i="1"/>
  <c r="C1237" i="1"/>
  <c r="D1237" i="1"/>
  <c r="E1237" i="1"/>
  <c r="F1237" i="1"/>
  <c r="G1237" i="1"/>
  <c r="H1237" i="1"/>
  <c r="I1237" i="1"/>
  <c r="A1238" i="1"/>
  <c r="B1238" i="1"/>
  <c r="C1238" i="1"/>
  <c r="D1238" i="1"/>
  <c r="E1238" i="1"/>
  <c r="F1238" i="1"/>
  <c r="G1238" i="1"/>
  <c r="H1238" i="1"/>
  <c r="I1238" i="1"/>
  <c r="A1239" i="1"/>
  <c r="B1239" i="1"/>
  <c r="C1239" i="1"/>
  <c r="D1239" i="1"/>
  <c r="E1239" i="1"/>
  <c r="F1239" i="1"/>
  <c r="G1239" i="1"/>
  <c r="H1239" i="1"/>
  <c r="I1239" i="1"/>
  <c r="A1240" i="1"/>
  <c r="B1240" i="1"/>
  <c r="C1240" i="1"/>
  <c r="D1240" i="1"/>
  <c r="E1240" i="1"/>
  <c r="F1240" i="1"/>
  <c r="G1240" i="1"/>
  <c r="H1240" i="1"/>
  <c r="I1240" i="1"/>
  <c r="A1241" i="1"/>
  <c r="B1241" i="1"/>
  <c r="C1241" i="1"/>
  <c r="D1241" i="1"/>
  <c r="E1241" i="1"/>
  <c r="F1241" i="1"/>
  <c r="G1241" i="1"/>
  <c r="H1241" i="1"/>
  <c r="I1241" i="1"/>
  <c r="A1242" i="1"/>
  <c r="B1242" i="1"/>
  <c r="C1242" i="1"/>
  <c r="D1242" i="1"/>
  <c r="E1242" i="1"/>
  <c r="F1242" i="1"/>
  <c r="G1242" i="1"/>
  <c r="H1242" i="1"/>
  <c r="I1242" i="1"/>
  <c r="A1243" i="1"/>
  <c r="B1243" i="1"/>
  <c r="C1243" i="1"/>
  <c r="D1243" i="1"/>
  <c r="E1243" i="1"/>
  <c r="F1243" i="1"/>
  <c r="G1243" i="1"/>
  <c r="H1243" i="1"/>
  <c r="I1243" i="1"/>
  <c r="A1244" i="1"/>
  <c r="B1244" i="1"/>
  <c r="C1244" i="1"/>
  <c r="D1244" i="1"/>
  <c r="E1244" i="1"/>
  <c r="F1244" i="1"/>
  <c r="G1244" i="1"/>
  <c r="H1244" i="1"/>
  <c r="I1244" i="1"/>
  <c r="A1245" i="1"/>
  <c r="B1245" i="1"/>
  <c r="C1245" i="1"/>
  <c r="D1245" i="1"/>
  <c r="E1245" i="1"/>
  <c r="F1245" i="1"/>
  <c r="G1245" i="1"/>
  <c r="H1245" i="1"/>
  <c r="I1245" i="1"/>
  <c r="A1246" i="1"/>
  <c r="B1246" i="1"/>
  <c r="C1246" i="1"/>
  <c r="D1246" i="1"/>
  <c r="E1246" i="1"/>
  <c r="F1246" i="1"/>
  <c r="G1246" i="1"/>
  <c r="H1246" i="1"/>
  <c r="I1246" i="1"/>
  <c r="A1247" i="1"/>
  <c r="B1247" i="1"/>
  <c r="C1247" i="1"/>
  <c r="D1247" i="1"/>
  <c r="E1247" i="1"/>
  <c r="F1247" i="1"/>
  <c r="G1247" i="1"/>
  <c r="H1247" i="1"/>
  <c r="I1247" i="1"/>
  <c r="A1248" i="1"/>
  <c r="B1248" i="1"/>
  <c r="C1248" i="1"/>
  <c r="D1248" i="1"/>
  <c r="E1248" i="1"/>
  <c r="F1248" i="1"/>
  <c r="G1248" i="1"/>
  <c r="H1248" i="1"/>
  <c r="I1248" i="1"/>
  <c r="A1249" i="1"/>
  <c r="B1249" i="1"/>
  <c r="C1249" i="1"/>
  <c r="D1249" i="1"/>
  <c r="E1249" i="1"/>
  <c r="F1249" i="1"/>
  <c r="G1249" i="1"/>
  <c r="H1249" i="1"/>
  <c r="I1249" i="1"/>
  <c r="A1250" i="1"/>
  <c r="B1250" i="1"/>
  <c r="C1250" i="1"/>
  <c r="D1250" i="1"/>
  <c r="E1250" i="1"/>
  <c r="F1250" i="1"/>
  <c r="G1250" i="1"/>
  <c r="H1250" i="1"/>
  <c r="I1250" i="1"/>
  <c r="A1251" i="1"/>
  <c r="B1251" i="1"/>
  <c r="C1251" i="1"/>
  <c r="D1251" i="1"/>
  <c r="E1251" i="1"/>
  <c r="F1251" i="1"/>
  <c r="G1251" i="1"/>
  <c r="H1251" i="1"/>
  <c r="I1251" i="1"/>
  <c r="A1252" i="1"/>
  <c r="B1252" i="1"/>
  <c r="C1252" i="1"/>
  <c r="D1252" i="1"/>
  <c r="E1252" i="1"/>
  <c r="F1252" i="1"/>
  <c r="G1252" i="1"/>
  <c r="H1252" i="1"/>
  <c r="I1252" i="1"/>
  <c r="A1253" i="1"/>
  <c r="B1253" i="1"/>
  <c r="C1253" i="1"/>
  <c r="D1253" i="1"/>
  <c r="E1253" i="1"/>
  <c r="F1253" i="1"/>
  <c r="G1253" i="1"/>
  <c r="H1253" i="1"/>
  <c r="I1253" i="1"/>
  <c r="A1254" i="1"/>
  <c r="B1254" i="1"/>
  <c r="C1254" i="1"/>
  <c r="D1254" i="1"/>
  <c r="E1254" i="1"/>
  <c r="F1254" i="1"/>
  <c r="G1254" i="1"/>
  <c r="H1254" i="1"/>
  <c r="I1254" i="1"/>
  <c r="A1255" i="1"/>
  <c r="B1255" i="1"/>
  <c r="C1255" i="1"/>
  <c r="D1255" i="1"/>
  <c r="E1255" i="1"/>
  <c r="F1255" i="1"/>
  <c r="G1255" i="1"/>
  <c r="H1255" i="1"/>
  <c r="I1255" i="1"/>
  <c r="A1256" i="1"/>
  <c r="B1256" i="1"/>
  <c r="C1256" i="1"/>
  <c r="D1256" i="1"/>
  <c r="E1256" i="1"/>
  <c r="F1256" i="1"/>
  <c r="G1256" i="1"/>
  <c r="H1256" i="1"/>
  <c r="I1256" i="1"/>
  <c r="A1257" i="1"/>
  <c r="B1257" i="1"/>
  <c r="C1257" i="1"/>
  <c r="D1257" i="1"/>
  <c r="E1257" i="1"/>
  <c r="F1257" i="1"/>
  <c r="G1257" i="1"/>
  <c r="H1257" i="1"/>
  <c r="I1257" i="1"/>
  <c r="A1258" i="1"/>
  <c r="B1258" i="1"/>
  <c r="C1258" i="1"/>
  <c r="D1258" i="1"/>
  <c r="E1258" i="1"/>
  <c r="F1258" i="1"/>
  <c r="G1258" i="1"/>
  <c r="H1258" i="1"/>
  <c r="I1258" i="1"/>
  <c r="A1259" i="1"/>
  <c r="B1259" i="1"/>
  <c r="C1259" i="1"/>
  <c r="D1259" i="1"/>
  <c r="E1259" i="1"/>
  <c r="F1259" i="1"/>
  <c r="G1259" i="1"/>
  <c r="H1259" i="1"/>
  <c r="I1259" i="1"/>
  <c r="A1260" i="1"/>
  <c r="B1260" i="1"/>
  <c r="C1260" i="1"/>
  <c r="D1260" i="1"/>
  <c r="E1260" i="1"/>
  <c r="F1260" i="1"/>
  <c r="G1260" i="1"/>
  <c r="H1260" i="1"/>
  <c r="I1260" i="1"/>
  <c r="A1261" i="1"/>
  <c r="B1261" i="1"/>
  <c r="C1261" i="1"/>
  <c r="D1261" i="1"/>
  <c r="E1261" i="1"/>
  <c r="F1261" i="1"/>
  <c r="G1261" i="1"/>
  <c r="H1261" i="1"/>
  <c r="I1261" i="1"/>
  <c r="A1262" i="1"/>
  <c r="B1262" i="1"/>
  <c r="C1262" i="1"/>
  <c r="D1262" i="1"/>
  <c r="E1262" i="1"/>
  <c r="F1262" i="1"/>
  <c r="G1262" i="1"/>
  <c r="H1262" i="1"/>
  <c r="I1262" i="1"/>
  <c r="A1263" i="1"/>
  <c r="B1263" i="1"/>
  <c r="C1263" i="1"/>
  <c r="D1263" i="1"/>
  <c r="E1263" i="1"/>
  <c r="F1263" i="1"/>
  <c r="G1263" i="1"/>
  <c r="H1263" i="1"/>
  <c r="I1263" i="1"/>
  <c r="A1264" i="1"/>
  <c r="B1264" i="1"/>
  <c r="C1264" i="1"/>
  <c r="D1264" i="1"/>
  <c r="E1264" i="1"/>
  <c r="F1264" i="1"/>
  <c r="G1264" i="1"/>
  <c r="H1264" i="1"/>
  <c r="I1264" i="1"/>
  <c r="A1265" i="1"/>
  <c r="B1265" i="1"/>
  <c r="C1265" i="1"/>
  <c r="D1265" i="1"/>
  <c r="E1265" i="1"/>
  <c r="F1265" i="1"/>
  <c r="G1265" i="1"/>
  <c r="H1265" i="1"/>
  <c r="I1265" i="1"/>
  <c r="A1266" i="1"/>
  <c r="B1266" i="1"/>
  <c r="C1266" i="1"/>
  <c r="D1266" i="1"/>
  <c r="E1266" i="1"/>
  <c r="F1266" i="1"/>
  <c r="G1266" i="1"/>
  <c r="H1266" i="1"/>
  <c r="I1266" i="1"/>
  <c r="A1267" i="1"/>
  <c r="B1267" i="1"/>
  <c r="C1267" i="1"/>
  <c r="D1267" i="1"/>
  <c r="E1267" i="1"/>
  <c r="F1267" i="1"/>
  <c r="G1267" i="1"/>
  <c r="H1267" i="1"/>
  <c r="I1267" i="1"/>
  <c r="A1268" i="1"/>
  <c r="B1268" i="1"/>
  <c r="C1268" i="1"/>
  <c r="D1268" i="1"/>
  <c r="E1268" i="1"/>
  <c r="F1268" i="1"/>
  <c r="G1268" i="1"/>
  <c r="H1268" i="1"/>
  <c r="I1268" i="1"/>
  <c r="A1269" i="1"/>
  <c r="B1269" i="1"/>
  <c r="C1269" i="1"/>
  <c r="D1269" i="1"/>
  <c r="E1269" i="1"/>
  <c r="F1269" i="1"/>
  <c r="G1269" i="1"/>
  <c r="H1269" i="1"/>
  <c r="I1269" i="1"/>
  <c r="A1270" i="1"/>
  <c r="B1270" i="1"/>
  <c r="C1270" i="1"/>
  <c r="D1270" i="1"/>
  <c r="E1270" i="1"/>
  <c r="F1270" i="1"/>
  <c r="G1270" i="1"/>
  <c r="H1270" i="1"/>
  <c r="I1270" i="1"/>
  <c r="A1271" i="1"/>
  <c r="B1271" i="1"/>
  <c r="C1271" i="1"/>
  <c r="D1271" i="1"/>
  <c r="E1271" i="1"/>
  <c r="F1271" i="1"/>
  <c r="G1271" i="1"/>
  <c r="H1271" i="1"/>
  <c r="I1271" i="1"/>
  <c r="A1272" i="1"/>
  <c r="B1272" i="1"/>
  <c r="C1272" i="1"/>
  <c r="D1272" i="1"/>
  <c r="E1272" i="1"/>
  <c r="F1272" i="1"/>
  <c r="G1272" i="1"/>
  <c r="H1272" i="1"/>
  <c r="I1272" i="1"/>
  <c r="A1273" i="1"/>
  <c r="B1273" i="1"/>
  <c r="C1273" i="1"/>
  <c r="D1273" i="1"/>
  <c r="E1273" i="1"/>
  <c r="F1273" i="1"/>
  <c r="G1273" i="1"/>
  <c r="H1273" i="1"/>
  <c r="I1273" i="1"/>
  <c r="A1274" i="1"/>
  <c r="B1274" i="1"/>
  <c r="C1274" i="1"/>
  <c r="D1274" i="1"/>
  <c r="E1274" i="1"/>
  <c r="F1274" i="1"/>
  <c r="G1274" i="1"/>
  <c r="H1274" i="1"/>
  <c r="I1274" i="1"/>
  <c r="A1275" i="1"/>
  <c r="B1275" i="1"/>
  <c r="C1275" i="1"/>
  <c r="D1275" i="1"/>
  <c r="E1275" i="1"/>
  <c r="F1275" i="1"/>
  <c r="G1275" i="1"/>
  <c r="H1275" i="1"/>
  <c r="I1275" i="1"/>
  <c r="A1276" i="1"/>
  <c r="B1276" i="1"/>
  <c r="C1276" i="1"/>
  <c r="D1276" i="1"/>
  <c r="E1276" i="1"/>
  <c r="F1276" i="1"/>
  <c r="G1276" i="1"/>
  <c r="H1276" i="1"/>
  <c r="I1276" i="1"/>
  <c r="A1277" i="1"/>
  <c r="B1277" i="1"/>
  <c r="C1277" i="1"/>
  <c r="D1277" i="1"/>
  <c r="E1277" i="1"/>
  <c r="F1277" i="1"/>
  <c r="G1277" i="1"/>
  <c r="H1277" i="1"/>
  <c r="I1277" i="1"/>
  <c r="A1278" i="1"/>
  <c r="B1278" i="1"/>
  <c r="C1278" i="1"/>
  <c r="D1278" i="1"/>
  <c r="E1278" i="1"/>
  <c r="F1278" i="1"/>
  <c r="G1278" i="1"/>
  <c r="H1278" i="1"/>
  <c r="I1278" i="1"/>
  <c r="A1279" i="1"/>
  <c r="B1279" i="1"/>
  <c r="C1279" i="1"/>
  <c r="D1279" i="1"/>
  <c r="E1279" i="1"/>
  <c r="F1279" i="1"/>
  <c r="G1279" i="1"/>
  <c r="H1279" i="1"/>
  <c r="I1279" i="1"/>
  <c r="A1280" i="1"/>
  <c r="B1280" i="1"/>
  <c r="C1280" i="1"/>
  <c r="D1280" i="1"/>
  <c r="E1280" i="1"/>
  <c r="F1280" i="1"/>
  <c r="G1280" i="1"/>
  <c r="H1280" i="1"/>
  <c r="I1280" i="1"/>
  <c r="A1281" i="1"/>
  <c r="B1281" i="1"/>
  <c r="C1281" i="1"/>
  <c r="D1281" i="1"/>
  <c r="E1281" i="1"/>
  <c r="F1281" i="1"/>
  <c r="G1281" i="1"/>
  <c r="H1281" i="1"/>
  <c r="I1281" i="1"/>
  <c r="A1282" i="1"/>
  <c r="B1282" i="1"/>
  <c r="C1282" i="1"/>
  <c r="D1282" i="1"/>
  <c r="E1282" i="1"/>
  <c r="F1282" i="1"/>
  <c r="G1282" i="1"/>
  <c r="H1282" i="1"/>
  <c r="I1282" i="1"/>
  <c r="A1283" i="1"/>
  <c r="B1283" i="1"/>
  <c r="C1283" i="1"/>
  <c r="D1283" i="1"/>
  <c r="E1283" i="1"/>
  <c r="F1283" i="1"/>
  <c r="G1283" i="1"/>
  <c r="H1283" i="1"/>
  <c r="I1283" i="1"/>
  <c r="A1284" i="1"/>
  <c r="B1284" i="1"/>
  <c r="C1284" i="1"/>
  <c r="D1284" i="1"/>
  <c r="E1284" i="1"/>
  <c r="F1284" i="1"/>
  <c r="G1284" i="1"/>
  <c r="H1284" i="1"/>
  <c r="I1284" i="1"/>
  <c r="A1285" i="1"/>
  <c r="B1285" i="1"/>
  <c r="C1285" i="1"/>
  <c r="D1285" i="1"/>
  <c r="E1285" i="1"/>
  <c r="F1285" i="1"/>
  <c r="G1285" i="1"/>
  <c r="H1285" i="1"/>
  <c r="I1285" i="1"/>
  <c r="A1286" i="1"/>
  <c r="B1286" i="1"/>
  <c r="C1286" i="1"/>
  <c r="D1286" i="1"/>
  <c r="E1286" i="1"/>
  <c r="F1286" i="1"/>
  <c r="G1286" i="1"/>
  <c r="H1286" i="1"/>
  <c r="I1286" i="1"/>
  <c r="A1287" i="1"/>
  <c r="B1287" i="1"/>
  <c r="C1287" i="1"/>
  <c r="D1287" i="1"/>
  <c r="E1287" i="1"/>
  <c r="F1287" i="1"/>
  <c r="G1287" i="1"/>
  <c r="H1287" i="1"/>
  <c r="I1287" i="1"/>
  <c r="A1288" i="1"/>
  <c r="B1288" i="1"/>
  <c r="C1288" i="1"/>
  <c r="D1288" i="1"/>
  <c r="E1288" i="1"/>
  <c r="F1288" i="1"/>
  <c r="G1288" i="1"/>
  <c r="H1288" i="1"/>
  <c r="I1288" i="1"/>
  <c r="A1289" i="1"/>
  <c r="B1289" i="1"/>
  <c r="C1289" i="1"/>
  <c r="D1289" i="1"/>
  <c r="E1289" i="1"/>
  <c r="F1289" i="1"/>
  <c r="G1289" i="1"/>
  <c r="H1289" i="1"/>
  <c r="I1289" i="1"/>
  <c r="A1290" i="1"/>
  <c r="B1290" i="1"/>
  <c r="C1290" i="1"/>
  <c r="D1290" i="1"/>
  <c r="E1290" i="1"/>
  <c r="F1290" i="1"/>
  <c r="G1290" i="1"/>
  <c r="H1290" i="1"/>
  <c r="I1290" i="1"/>
  <c r="A1291" i="1"/>
  <c r="B1291" i="1"/>
  <c r="C1291" i="1"/>
  <c r="D1291" i="1"/>
  <c r="E1291" i="1"/>
  <c r="F1291" i="1"/>
  <c r="G1291" i="1"/>
  <c r="H1291" i="1"/>
  <c r="I1291" i="1"/>
  <c r="A1292" i="1"/>
  <c r="B1292" i="1"/>
  <c r="C1292" i="1"/>
  <c r="D1292" i="1"/>
  <c r="E1292" i="1"/>
  <c r="F1292" i="1"/>
  <c r="G1292" i="1"/>
  <c r="H1292" i="1"/>
  <c r="I1292" i="1"/>
  <c r="A1293" i="1"/>
  <c r="B1293" i="1"/>
  <c r="C1293" i="1"/>
  <c r="D1293" i="1"/>
  <c r="E1293" i="1"/>
  <c r="F1293" i="1"/>
  <c r="G1293" i="1"/>
  <c r="H1293" i="1"/>
  <c r="I1293" i="1"/>
  <c r="A1294" i="1"/>
  <c r="B1294" i="1"/>
  <c r="C1294" i="1"/>
  <c r="D1294" i="1"/>
  <c r="E1294" i="1"/>
  <c r="F1294" i="1"/>
  <c r="G1294" i="1"/>
  <c r="H1294" i="1"/>
  <c r="I1294" i="1"/>
  <c r="A1295" i="1"/>
  <c r="B1295" i="1"/>
  <c r="C1295" i="1"/>
  <c r="D1295" i="1"/>
  <c r="E1295" i="1"/>
  <c r="F1295" i="1"/>
  <c r="G1295" i="1"/>
  <c r="H1295" i="1"/>
  <c r="I1295" i="1"/>
  <c r="A1296" i="1"/>
  <c r="B1296" i="1"/>
  <c r="C1296" i="1"/>
  <c r="D1296" i="1"/>
  <c r="E1296" i="1"/>
  <c r="F1296" i="1"/>
  <c r="G1296" i="1"/>
  <c r="H1296" i="1"/>
  <c r="I1296" i="1"/>
  <c r="A1297" i="1"/>
  <c r="B1297" i="1"/>
  <c r="C1297" i="1"/>
  <c r="D1297" i="1"/>
  <c r="E1297" i="1"/>
  <c r="F1297" i="1"/>
  <c r="G1297" i="1"/>
  <c r="H1297" i="1"/>
  <c r="I1297" i="1"/>
  <c r="A1298" i="1"/>
  <c r="B1298" i="1"/>
  <c r="C1298" i="1"/>
  <c r="D1298" i="1"/>
  <c r="E1298" i="1"/>
  <c r="F1298" i="1"/>
  <c r="G1298" i="1"/>
  <c r="H1298" i="1"/>
  <c r="I1298" i="1"/>
  <c r="A1299" i="1"/>
  <c r="B1299" i="1"/>
  <c r="C1299" i="1"/>
  <c r="D1299" i="1"/>
  <c r="E1299" i="1"/>
  <c r="F1299" i="1"/>
  <c r="G1299" i="1"/>
  <c r="H1299" i="1"/>
  <c r="I1299" i="1"/>
  <c r="A1300" i="1"/>
  <c r="B1300" i="1"/>
  <c r="C1300" i="1"/>
  <c r="D1300" i="1"/>
  <c r="E1300" i="1"/>
  <c r="F1300" i="1"/>
  <c r="G1300" i="1"/>
  <c r="H1300" i="1"/>
  <c r="I1300" i="1"/>
  <c r="A1301" i="1"/>
  <c r="B1301" i="1"/>
  <c r="C1301" i="1"/>
  <c r="D1301" i="1"/>
  <c r="E1301" i="1"/>
  <c r="F1301" i="1"/>
  <c r="G1301" i="1"/>
  <c r="H1301" i="1"/>
  <c r="I1301" i="1"/>
  <c r="A1302" i="1"/>
  <c r="B1302" i="1"/>
  <c r="C1302" i="1"/>
  <c r="D1302" i="1"/>
  <c r="E1302" i="1"/>
  <c r="F1302" i="1"/>
  <c r="G1302" i="1"/>
  <c r="H1302" i="1"/>
  <c r="I1302" i="1"/>
  <c r="A1303" i="1"/>
  <c r="B1303" i="1"/>
  <c r="C1303" i="1"/>
  <c r="D1303" i="1"/>
  <c r="E1303" i="1"/>
  <c r="F1303" i="1"/>
  <c r="G1303" i="1"/>
  <c r="H1303" i="1"/>
  <c r="I1303" i="1"/>
  <c r="A1304" i="1"/>
  <c r="B1304" i="1"/>
  <c r="C1304" i="1"/>
  <c r="D1304" i="1"/>
  <c r="E1304" i="1"/>
  <c r="F1304" i="1"/>
  <c r="G1304" i="1"/>
  <c r="H1304" i="1"/>
  <c r="I1304" i="1"/>
  <c r="A1305" i="1"/>
  <c r="B1305" i="1"/>
  <c r="C1305" i="1"/>
  <c r="D1305" i="1"/>
  <c r="E1305" i="1"/>
  <c r="F1305" i="1"/>
  <c r="G1305" i="1"/>
  <c r="H1305" i="1"/>
  <c r="I1305" i="1"/>
  <c r="A1306" i="1"/>
  <c r="B1306" i="1"/>
  <c r="C1306" i="1"/>
  <c r="D1306" i="1"/>
  <c r="E1306" i="1"/>
  <c r="F1306" i="1"/>
  <c r="G1306" i="1"/>
  <c r="H1306" i="1"/>
  <c r="I1306" i="1"/>
  <c r="A1307" i="1"/>
  <c r="B1307" i="1"/>
  <c r="C1307" i="1"/>
  <c r="D1307" i="1"/>
  <c r="E1307" i="1"/>
  <c r="F1307" i="1"/>
  <c r="G1307" i="1"/>
  <c r="H1307" i="1"/>
  <c r="I1307" i="1"/>
  <c r="A1308" i="1"/>
  <c r="B1308" i="1"/>
  <c r="C1308" i="1"/>
  <c r="D1308" i="1"/>
  <c r="E1308" i="1"/>
  <c r="F1308" i="1"/>
  <c r="G1308" i="1"/>
  <c r="H1308" i="1"/>
  <c r="I1308" i="1"/>
  <c r="A1309" i="1"/>
  <c r="B1309" i="1"/>
  <c r="C1309" i="1"/>
  <c r="D1309" i="1"/>
  <c r="E1309" i="1"/>
  <c r="F1309" i="1"/>
  <c r="G1309" i="1"/>
  <c r="H1309" i="1"/>
  <c r="I1309" i="1"/>
  <c r="A1310" i="1"/>
  <c r="B1310" i="1"/>
  <c r="C1310" i="1"/>
  <c r="D1310" i="1"/>
  <c r="E1310" i="1"/>
  <c r="F1310" i="1"/>
  <c r="G1310" i="1"/>
  <c r="H1310" i="1"/>
  <c r="I1310" i="1"/>
  <c r="A1311" i="1"/>
  <c r="B1311" i="1"/>
  <c r="C1311" i="1"/>
  <c r="D1311" i="1"/>
  <c r="E1311" i="1"/>
  <c r="F1311" i="1"/>
  <c r="G1311" i="1"/>
  <c r="H1311" i="1"/>
  <c r="I1311" i="1"/>
  <c r="A1312" i="1"/>
  <c r="B1312" i="1"/>
  <c r="C1312" i="1"/>
  <c r="D1312" i="1"/>
  <c r="E1312" i="1"/>
  <c r="F1312" i="1"/>
  <c r="G1312" i="1"/>
  <c r="H1312" i="1"/>
  <c r="I1312" i="1"/>
  <c r="A1313" i="1"/>
  <c r="B1313" i="1"/>
  <c r="C1313" i="1"/>
  <c r="D1313" i="1"/>
  <c r="E1313" i="1"/>
  <c r="F1313" i="1"/>
  <c r="G1313" i="1"/>
  <c r="H1313" i="1"/>
  <c r="I1313" i="1"/>
  <c r="A1314" i="1"/>
  <c r="B1314" i="1"/>
  <c r="C1314" i="1"/>
  <c r="D1314" i="1"/>
  <c r="E1314" i="1"/>
  <c r="F1314" i="1"/>
  <c r="G1314" i="1"/>
  <c r="H1314" i="1"/>
  <c r="I1314" i="1"/>
  <c r="A1315" i="1"/>
  <c r="B1315" i="1"/>
  <c r="C1315" i="1"/>
  <c r="D1315" i="1"/>
  <c r="E1315" i="1"/>
  <c r="F1315" i="1"/>
  <c r="G1315" i="1"/>
  <c r="H1315" i="1"/>
  <c r="I1315" i="1"/>
  <c r="A1316" i="1"/>
  <c r="B1316" i="1"/>
  <c r="C1316" i="1"/>
  <c r="D1316" i="1"/>
  <c r="E1316" i="1"/>
  <c r="F1316" i="1"/>
  <c r="G1316" i="1"/>
  <c r="H1316" i="1"/>
  <c r="I1316" i="1"/>
  <c r="A1317" i="1"/>
  <c r="B1317" i="1"/>
  <c r="C1317" i="1"/>
  <c r="D1317" i="1"/>
  <c r="E1317" i="1"/>
  <c r="F1317" i="1"/>
  <c r="G1317" i="1"/>
  <c r="H1317" i="1"/>
  <c r="I1317" i="1"/>
  <c r="A1318" i="1"/>
  <c r="B1318" i="1"/>
  <c r="C1318" i="1"/>
  <c r="D1318" i="1"/>
  <c r="E1318" i="1"/>
  <c r="F1318" i="1"/>
  <c r="G1318" i="1"/>
  <c r="H1318" i="1"/>
  <c r="I1318" i="1"/>
  <c r="A1319" i="1"/>
  <c r="B1319" i="1"/>
  <c r="C1319" i="1"/>
  <c r="D1319" i="1"/>
  <c r="E1319" i="1"/>
  <c r="F1319" i="1"/>
  <c r="G1319" i="1"/>
  <c r="H1319" i="1"/>
  <c r="I1319" i="1"/>
  <c r="A1320" i="1"/>
  <c r="B1320" i="1"/>
  <c r="C1320" i="1"/>
  <c r="D1320" i="1"/>
  <c r="E1320" i="1"/>
  <c r="F1320" i="1"/>
  <c r="G1320" i="1"/>
  <c r="H1320" i="1"/>
  <c r="I1320" i="1"/>
  <c r="A1321" i="1"/>
  <c r="B1321" i="1"/>
  <c r="C1321" i="1"/>
  <c r="D1321" i="1"/>
  <c r="E1321" i="1"/>
  <c r="F1321" i="1"/>
  <c r="G1321" i="1"/>
  <c r="H1321" i="1"/>
  <c r="I1321" i="1"/>
  <c r="A1322" i="1"/>
  <c r="B1322" i="1"/>
  <c r="C1322" i="1"/>
  <c r="D1322" i="1"/>
  <c r="E1322" i="1"/>
  <c r="F1322" i="1"/>
  <c r="G1322" i="1"/>
  <c r="H1322" i="1"/>
  <c r="I1322" i="1"/>
  <c r="A1323" i="1"/>
  <c r="B1323" i="1"/>
  <c r="C1323" i="1"/>
  <c r="D1323" i="1"/>
  <c r="E1323" i="1"/>
  <c r="F1323" i="1"/>
  <c r="G1323" i="1"/>
  <c r="H1323" i="1"/>
  <c r="I1323" i="1"/>
  <c r="A1324" i="1"/>
  <c r="B1324" i="1"/>
  <c r="C1324" i="1"/>
  <c r="D1324" i="1"/>
  <c r="E1324" i="1"/>
  <c r="F1324" i="1"/>
  <c r="G1324" i="1"/>
  <c r="H1324" i="1"/>
  <c r="I1324" i="1"/>
  <c r="A1325" i="1"/>
  <c r="B1325" i="1"/>
  <c r="C1325" i="1"/>
  <c r="D1325" i="1"/>
  <c r="E1325" i="1"/>
  <c r="F1325" i="1"/>
  <c r="G1325" i="1"/>
  <c r="H1325" i="1"/>
  <c r="I1325" i="1"/>
  <c r="A1326" i="1"/>
  <c r="B1326" i="1"/>
  <c r="C1326" i="1"/>
  <c r="D1326" i="1"/>
  <c r="E1326" i="1"/>
  <c r="F1326" i="1"/>
  <c r="G1326" i="1"/>
  <c r="H1326" i="1"/>
  <c r="I1326" i="1"/>
  <c r="A1327" i="1"/>
  <c r="B1327" i="1"/>
  <c r="C1327" i="1"/>
  <c r="D1327" i="1"/>
  <c r="E1327" i="1"/>
  <c r="F1327" i="1"/>
  <c r="G1327" i="1"/>
  <c r="H1327" i="1"/>
  <c r="I1327" i="1"/>
  <c r="A1328" i="1"/>
  <c r="B1328" i="1"/>
  <c r="C1328" i="1"/>
  <c r="D1328" i="1"/>
  <c r="E1328" i="1"/>
  <c r="F1328" i="1"/>
  <c r="G1328" i="1"/>
  <c r="H1328" i="1"/>
  <c r="I1328" i="1"/>
  <c r="A1329" i="1"/>
  <c r="B1329" i="1"/>
  <c r="C1329" i="1"/>
  <c r="D1329" i="1"/>
  <c r="E1329" i="1"/>
  <c r="F1329" i="1"/>
  <c r="G1329" i="1"/>
  <c r="H1329" i="1"/>
  <c r="I1329" i="1"/>
  <c r="A1330" i="1"/>
  <c r="B1330" i="1"/>
  <c r="C1330" i="1"/>
  <c r="D1330" i="1"/>
  <c r="E1330" i="1"/>
  <c r="F1330" i="1"/>
  <c r="G1330" i="1"/>
  <c r="H1330" i="1"/>
  <c r="I1330" i="1"/>
  <c r="A1331" i="1"/>
  <c r="B1331" i="1"/>
  <c r="C1331" i="1"/>
  <c r="D1331" i="1"/>
  <c r="E1331" i="1"/>
  <c r="F1331" i="1"/>
  <c r="G1331" i="1"/>
  <c r="H1331" i="1"/>
  <c r="I1331" i="1"/>
  <c r="A1332" i="1"/>
  <c r="B1332" i="1"/>
  <c r="C1332" i="1"/>
  <c r="D1332" i="1"/>
  <c r="E1332" i="1"/>
  <c r="F1332" i="1"/>
  <c r="G1332" i="1"/>
  <c r="H1332" i="1"/>
  <c r="I1332" i="1"/>
  <c r="A1333" i="1"/>
  <c r="B1333" i="1"/>
  <c r="C1333" i="1"/>
  <c r="D1333" i="1"/>
  <c r="E1333" i="1"/>
  <c r="F1333" i="1"/>
  <c r="G1333" i="1"/>
  <c r="H1333" i="1"/>
  <c r="I1333" i="1"/>
  <c r="A1334" i="1"/>
  <c r="B1334" i="1"/>
  <c r="C1334" i="1"/>
  <c r="D1334" i="1"/>
  <c r="E1334" i="1"/>
  <c r="F1334" i="1"/>
  <c r="G1334" i="1"/>
  <c r="H1334" i="1"/>
  <c r="I1334" i="1"/>
  <c r="A1335" i="1"/>
  <c r="B1335" i="1"/>
  <c r="C1335" i="1"/>
  <c r="D1335" i="1"/>
  <c r="E1335" i="1"/>
  <c r="F1335" i="1"/>
  <c r="G1335" i="1"/>
  <c r="H1335" i="1"/>
  <c r="I1335" i="1"/>
  <c r="A1336" i="1"/>
  <c r="B1336" i="1"/>
  <c r="C1336" i="1"/>
  <c r="D1336" i="1"/>
  <c r="E1336" i="1"/>
  <c r="F1336" i="1"/>
  <c r="G1336" i="1"/>
  <c r="H1336" i="1"/>
  <c r="I1336" i="1"/>
  <c r="A1337" i="1"/>
  <c r="B1337" i="1"/>
  <c r="C1337" i="1"/>
  <c r="D1337" i="1"/>
  <c r="E1337" i="1"/>
  <c r="F1337" i="1"/>
  <c r="G1337" i="1"/>
  <c r="H1337" i="1"/>
  <c r="I1337" i="1"/>
  <c r="A1338" i="1"/>
  <c r="B1338" i="1"/>
  <c r="C1338" i="1"/>
  <c r="D1338" i="1"/>
  <c r="E1338" i="1"/>
  <c r="F1338" i="1"/>
  <c r="G1338" i="1"/>
  <c r="H1338" i="1"/>
  <c r="I1338" i="1"/>
  <c r="A1339" i="1"/>
  <c r="B1339" i="1"/>
  <c r="C1339" i="1"/>
  <c r="D1339" i="1"/>
  <c r="E1339" i="1"/>
  <c r="F1339" i="1"/>
  <c r="G1339" i="1"/>
  <c r="H1339" i="1"/>
  <c r="I1339" i="1"/>
  <c r="A1340" i="1"/>
  <c r="B1340" i="1"/>
  <c r="C1340" i="1"/>
  <c r="D1340" i="1"/>
  <c r="E1340" i="1"/>
  <c r="F1340" i="1"/>
  <c r="G1340" i="1"/>
  <c r="H1340" i="1"/>
  <c r="I1340" i="1"/>
  <c r="A1341" i="1"/>
  <c r="B1341" i="1"/>
  <c r="C1341" i="1"/>
  <c r="D1341" i="1"/>
  <c r="E1341" i="1"/>
  <c r="F1341" i="1"/>
  <c r="G1341" i="1"/>
  <c r="H1341" i="1"/>
  <c r="I1341" i="1"/>
  <c r="A1342" i="1"/>
  <c r="B1342" i="1"/>
  <c r="C1342" i="1"/>
  <c r="D1342" i="1"/>
  <c r="E1342" i="1"/>
  <c r="F1342" i="1"/>
  <c r="G1342" i="1"/>
  <c r="H1342" i="1"/>
  <c r="I1342" i="1"/>
  <c r="A1343" i="1"/>
  <c r="B1343" i="1"/>
  <c r="C1343" i="1"/>
  <c r="D1343" i="1"/>
  <c r="E1343" i="1"/>
  <c r="F1343" i="1"/>
  <c r="G1343" i="1"/>
  <c r="H1343" i="1"/>
  <c r="I1343" i="1"/>
  <c r="A1344" i="1"/>
  <c r="B1344" i="1"/>
  <c r="C1344" i="1"/>
  <c r="D1344" i="1"/>
  <c r="E1344" i="1"/>
  <c r="F1344" i="1"/>
  <c r="G1344" i="1"/>
  <c r="H1344" i="1"/>
  <c r="I1344" i="1"/>
  <c r="A1345" i="1"/>
  <c r="B1345" i="1"/>
  <c r="C1345" i="1"/>
  <c r="D1345" i="1"/>
  <c r="E1345" i="1"/>
  <c r="F1345" i="1"/>
  <c r="G1345" i="1"/>
  <c r="H1345" i="1"/>
  <c r="I1345" i="1"/>
  <c r="A1346" i="1"/>
  <c r="B1346" i="1"/>
  <c r="C1346" i="1"/>
  <c r="D1346" i="1"/>
  <c r="E1346" i="1"/>
  <c r="F1346" i="1"/>
  <c r="G1346" i="1"/>
  <c r="H1346" i="1"/>
  <c r="I1346" i="1"/>
  <c r="A1347" i="1"/>
  <c r="B1347" i="1"/>
  <c r="C1347" i="1"/>
  <c r="D1347" i="1"/>
  <c r="E1347" i="1"/>
  <c r="F1347" i="1"/>
  <c r="G1347" i="1"/>
  <c r="H1347" i="1"/>
  <c r="I1347" i="1"/>
  <c r="A1348" i="1"/>
  <c r="B1348" i="1"/>
  <c r="C1348" i="1"/>
  <c r="D1348" i="1"/>
  <c r="E1348" i="1"/>
  <c r="F1348" i="1"/>
  <c r="G1348" i="1"/>
  <c r="H1348" i="1"/>
  <c r="I1348" i="1"/>
  <c r="A1349" i="1"/>
  <c r="B1349" i="1"/>
  <c r="C1349" i="1"/>
  <c r="D1349" i="1"/>
  <c r="E1349" i="1"/>
  <c r="F1349" i="1"/>
  <c r="G1349" i="1"/>
  <c r="H1349" i="1"/>
  <c r="I1349" i="1"/>
  <c r="A1350" i="1"/>
  <c r="B1350" i="1"/>
  <c r="C1350" i="1"/>
  <c r="D1350" i="1"/>
  <c r="E1350" i="1"/>
  <c r="F1350" i="1"/>
  <c r="G1350" i="1"/>
  <c r="H1350" i="1"/>
  <c r="I1350" i="1"/>
  <c r="A1351" i="1"/>
  <c r="B1351" i="1"/>
  <c r="C1351" i="1"/>
  <c r="D1351" i="1"/>
  <c r="E1351" i="1"/>
  <c r="F1351" i="1"/>
  <c r="G1351" i="1"/>
  <c r="H1351" i="1"/>
  <c r="I1351" i="1"/>
  <c r="A1352" i="1"/>
  <c r="B1352" i="1"/>
  <c r="C1352" i="1"/>
  <c r="D1352" i="1"/>
  <c r="E1352" i="1"/>
  <c r="F1352" i="1"/>
  <c r="G1352" i="1"/>
  <c r="H1352" i="1"/>
  <c r="I1352" i="1"/>
  <c r="A1353" i="1"/>
  <c r="B1353" i="1"/>
  <c r="C1353" i="1"/>
  <c r="D1353" i="1"/>
  <c r="E1353" i="1"/>
  <c r="F1353" i="1"/>
  <c r="G1353" i="1"/>
  <c r="H1353" i="1"/>
  <c r="I1353" i="1"/>
  <c r="A1354" i="1"/>
  <c r="B1354" i="1"/>
  <c r="C1354" i="1"/>
  <c r="D1354" i="1"/>
  <c r="E1354" i="1"/>
  <c r="F1354" i="1"/>
  <c r="G1354" i="1"/>
  <c r="H1354" i="1"/>
  <c r="I1354" i="1"/>
  <c r="A1355" i="1"/>
  <c r="B1355" i="1"/>
  <c r="C1355" i="1"/>
  <c r="D1355" i="1"/>
  <c r="E1355" i="1"/>
  <c r="F1355" i="1"/>
  <c r="G1355" i="1"/>
  <c r="H1355" i="1"/>
  <c r="I1355" i="1"/>
  <c r="A1356" i="1"/>
  <c r="B1356" i="1"/>
  <c r="C1356" i="1"/>
  <c r="D1356" i="1"/>
  <c r="E1356" i="1"/>
  <c r="F1356" i="1"/>
  <c r="G1356" i="1"/>
  <c r="H1356" i="1"/>
  <c r="I1356" i="1"/>
  <c r="A1357" i="1"/>
  <c r="B1357" i="1"/>
  <c r="C1357" i="1"/>
  <c r="D1357" i="1"/>
  <c r="E1357" i="1"/>
  <c r="F1357" i="1"/>
  <c r="G1357" i="1"/>
  <c r="H1357" i="1"/>
  <c r="I1357" i="1"/>
  <c r="A1358" i="1"/>
  <c r="B1358" i="1"/>
  <c r="C1358" i="1"/>
  <c r="D1358" i="1"/>
  <c r="E1358" i="1"/>
  <c r="F1358" i="1"/>
  <c r="G1358" i="1"/>
  <c r="H1358" i="1"/>
  <c r="I1358" i="1"/>
  <c r="A1359" i="1"/>
  <c r="B1359" i="1"/>
  <c r="C1359" i="1"/>
  <c r="D1359" i="1"/>
  <c r="E1359" i="1"/>
  <c r="F1359" i="1"/>
  <c r="G1359" i="1"/>
  <c r="H1359" i="1"/>
  <c r="I1359" i="1"/>
  <c r="A1360" i="1"/>
  <c r="B1360" i="1"/>
  <c r="C1360" i="1"/>
  <c r="D1360" i="1"/>
  <c r="E1360" i="1"/>
  <c r="F1360" i="1"/>
  <c r="G1360" i="1"/>
  <c r="H1360" i="1"/>
  <c r="I1360" i="1"/>
  <c r="A1361" i="1"/>
  <c r="B1361" i="1"/>
  <c r="C1361" i="1"/>
  <c r="D1361" i="1"/>
  <c r="E1361" i="1"/>
  <c r="F1361" i="1"/>
  <c r="G1361" i="1"/>
  <c r="H1361" i="1"/>
  <c r="I1361" i="1"/>
  <c r="A1362" i="1"/>
  <c r="B1362" i="1"/>
  <c r="C1362" i="1"/>
  <c r="D1362" i="1"/>
  <c r="E1362" i="1"/>
  <c r="F1362" i="1"/>
  <c r="G1362" i="1"/>
  <c r="H1362" i="1"/>
  <c r="I1362" i="1"/>
  <c r="A1363" i="1"/>
  <c r="B1363" i="1"/>
  <c r="C1363" i="1"/>
  <c r="D1363" i="1"/>
  <c r="E1363" i="1"/>
  <c r="F1363" i="1"/>
  <c r="G1363" i="1"/>
  <c r="H1363" i="1"/>
  <c r="I1363" i="1"/>
  <c r="A1364" i="1"/>
  <c r="B1364" i="1"/>
  <c r="C1364" i="1"/>
  <c r="D1364" i="1"/>
  <c r="E1364" i="1"/>
  <c r="F1364" i="1"/>
  <c r="G1364" i="1"/>
  <c r="H1364" i="1"/>
  <c r="I1364" i="1"/>
  <c r="A1365" i="1"/>
  <c r="B1365" i="1"/>
  <c r="C1365" i="1"/>
  <c r="D1365" i="1"/>
  <c r="E1365" i="1"/>
  <c r="F1365" i="1"/>
  <c r="G1365" i="1"/>
  <c r="H1365" i="1"/>
  <c r="I1365" i="1"/>
  <c r="A1366" i="1"/>
  <c r="B1366" i="1"/>
  <c r="C1366" i="1"/>
  <c r="D1366" i="1"/>
  <c r="E1366" i="1"/>
  <c r="F1366" i="1"/>
  <c r="G1366" i="1"/>
  <c r="H1366" i="1"/>
  <c r="I1366" i="1"/>
  <c r="A1367" i="1"/>
  <c r="B1367" i="1"/>
  <c r="C1367" i="1"/>
  <c r="D1367" i="1"/>
  <c r="E1367" i="1"/>
  <c r="F1367" i="1"/>
  <c r="G1367" i="1"/>
  <c r="H1367" i="1"/>
  <c r="I1367" i="1"/>
  <c r="A1368" i="1"/>
  <c r="B1368" i="1"/>
  <c r="C1368" i="1"/>
  <c r="D1368" i="1"/>
  <c r="E1368" i="1"/>
  <c r="F1368" i="1"/>
  <c r="G1368" i="1"/>
  <c r="H1368" i="1"/>
  <c r="I1368" i="1"/>
  <c r="A1369" i="1"/>
  <c r="B1369" i="1"/>
  <c r="C1369" i="1"/>
  <c r="D1369" i="1"/>
  <c r="E1369" i="1"/>
  <c r="F1369" i="1"/>
  <c r="G1369" i="1"/>
  <c r="H1369" i="1"/>
  <c r="I1369" i="1"/>
  <c r="A1370" i="1"/>
  <c r="B1370" i="1"/>
  <c r="C1370" i="1"/>
  <c r="D1370" i="1"/>
  <c r="E1370" i="1"/>
  <c r="F1370" i="1"/>
  <c r="G1370" i="1"/>
  <c r="H1370" i="1"/>
  <c r="I1370" i="1"/>
  <c r="A1371" i="1"/>
  <c r="B1371" i="1"/>
  <c r="C1371" i="1"/>
  <c r="D1371" i="1"/>
  <c r="E1371" i="1"/>
  <c r="F1371" i="1"/>
  <c r="G1371" i="1"/>
  <c r="H1371" i="1"/>
  <c r="I1371" i="1"/>
  <c r="A1372" i="1"/>
  <c r="B1372" i="1"/>
  <c r="C1372" i="1"/>
  <c r="D1372" i="1"/>
  <c r="E1372" i="1"/>
  <c r="F1372" i="1"/>
  <c r="G1372" i="1"/>
  <c r="H1372" i="1"/>
  <c r="I1372" i="1"/>
  <c r="A1373" i="1"/>
  <c r="B1373" i="1"/>
  <c r="C1373" i="1"/>
  <c r="D1373" i="1"/>
  <c r="E1373" i="1"/>
  <c r="F1373" i="1"/>
  <c r="G1373" i="1"/>
  <c r="H1373" i="1"/>
  <c r="I1373" i="1"/>
  <c r="A1374" i="1"/>
  <c r="B1374" i="1"/>
  <c r="C1374" i="1"/>
  <c r="D1374" i="1"/>
  <c r="E1374" i="1"/>
  <c r="F1374" i="1"/>
  <c r="G1374" i="1"/>
  <c r="H1374" i="1"/>
  <c r="I1374" i="1"/>
  <c r="A1375" i="1"/>
  <c r="B1375" i="1"/>
  <c r="C1375" i="1"/>
  <c r="D1375" i="1"/>
  <c r="E1375" i="1"/>
  <c r="F1375" i="1"/>
  <c r="G1375" i="1"/>
  <c r="H1375" i="1"/>
  <c r="I1375" i="1"/>
  <c r="A1376" i="1"/>
  <c r="B1376" i="1"/>
  <c r="C1376" i="1"/>
  <c r="D1376" i="1"/>
  <c r="E1376" i="1"/>
  <c r="F1376" i="1"/>
  <c r="G1376" i="1"/>
  <c r="H1376" i="1"/>
  <c r="I1376" i="1"/>
  <c r="A1377" i="1"/>
  <c r="B1377" i="1"/>
  <c r="C1377" i="1"/>
  <c r="D1377" i="1"/>
  <c r="E1377" i="1"/>
  <c r="F1377" i="1"/>
  <c r="G1377" i="1"/>
  <c r="H1377" i="1"/>
  <c r="I1377" i="1"/>
  <c r="A1378" i="1"/>
  <c r="B1378" i="1"/>
  <c r="C1378" i="1"/>
  <c r="D1378" i="1"/>
  <c r="E1378" i="1"/>
  <c r="F1378" i="1"/>
  <c r="G1378" i="1"/>
  <c r="H1378" i="1"/>
  <c r="I1378" i="1"/>
  <c r="A1379" i="1"/>
  <c r="B1379" i="1"/>
  <c r="C1379" i="1"/>
  <c r="D1379" i="1"/>
  <c r="E1379" i="1"/>
  <c r="F1379" i="1"/>
  <c r="G1379" i="1"/>
  <c r="H1379" i="1"/>
  <c r="I1379" i="1"/>
  <c r="A1380" i="1"/>
  <c r="B1380" i="1"/>
  <c r="C1380" i="1"/>
  <c r="D1380" i="1"/>
  <c r="E1380" i="1"/>
  <c r="F1380" i="1"/>
  <c r="G1380" i="1"/>
  <c r="H1380" i="1"/>
  <c r="I1380" i="1"/>
  <c r="A1381" i="1"/>
  <c r="B1381" i="1"/>
  <c r="C1381" i="1"/>
  <c r="D1381" i="1"/>
  <c r="E1381" i="1"/>
  <c r="F1381" i="1"/>
  <c r="G1381" i="1"/>
  <c r="H1381" i="1"/>
  <c r="I1381" i="1"/>
  <c r="A1382" i="1"/>
  <c r="B1382" i="1"/>
  <c r="C1382" i="1"/>
  <c r="D1382" i="1"/>
  <c r="E1382" i="1"/>
  <c r="F1382" i="1"/>
  <c r="G1382" i="1"/>
  <c r="H1382" i="1"/>
  <c r="I1382" i="1"/>
  <c r="A1383" i="1"/>
  <c r="B1383" i="1"/>
  <c r="C1383" i="1"/>
  <c r="D1383" i="1"/>
  <c r="E1383" i="1"/>
  <c r="F1383" i="1"/>
  <c r="G1383" i="1"/>
  <c r="H1383" i="1"/>
  <c r="I1383" i="1"/>
  <c r="A1384" i="1"/>
  <c r="B1384" i="1"/>
  <c r="C1384" i="1"/>
  <c r="D1384" i="1"/>
  <c r="E1384" i="1"/>
  <c r="F1384" i="1"/>
  <c r="G1384" i="1"/>
  <c r="H1384" i="1"/>
  <c r="I1384" i="1"/>
  <c r="A1385" i="1"/>
  <c r="B1385" i="1"/>
  <c r="C1385" i="1"/>
  <c r="D1385" i="1"/>
  <c r="E1385" i="1"/>
  <c r="F1385" i="1"/>
  <c r="G1385" i="1"/>
  <c r="H1385" i="1"/>
  <c r="I1385" i="1"/>
  <c r="A1386" i="1"/>
  <c r="B1386" i="1"/>
  <c r="C1386" i="1"/>
  <c r="D1386" i="1"/>
  <c r="E1386" i="1"/>
  <c r="F1386" i="1"/>
  <c r="G1386" i="1"/>
  <c r="H1386" i="1"/>
  <c r="I1386" i="1"/>
  <c r="A1387" i="1"/>
  <c r="B1387" i="1"/>
  <c r="C1387" i="1"/>
  <c r="D1387" i="1"/>
  <c r="E1387" i="1"/>
  <c r="F1387" i="1"/>
  <c r="G1387" i="1"/>
  <c r="H1387" i="1"/>
  <c r="I1387" i="1"/>
  <c r="A1388" i="1"/>
  <c r="B1388" i="1"/>
  <c r="C1388" i="1"/>
  <c r="D1388" i="1"/>
  <c r="E1388" i="1"/>
  <c r="F1388" i="1"/>
  <c r="G1388" i="1"/>
  <c r="H1388" i="1"/>
  <c r="I1388" i="1"/>
  <c r="A1389" i="1"/>
  <c r="B1389" i="1"/>
  <c r="C1389" i="1"/>
  <c r="D1389" i="1"/>
  <c r="E1389" i="1"/>
  <c r="F1389" i="1"/>
  <c r="G1389" i="1"/>
  <c r="H1389" i="1"/>
  <c r="I1389" i="1"/>
  <c r="A1390" i="1"/>
  <c r="B1390" i="1"/>
  <c r="C1390" i="1"/>
  <c r="D1390" i="1"/>
  <c r="E1390" i="1"/>
  <c r="F1390" i="1"/>
  <c r="G1390" i="1"/>
  <c r="H1390" i="1"/>
  <c r="I1390" i="1"/>
  <c r="A1391" i="1"/>
  <c r="B1391" i="1"/>
  <c r="C1391" i="1"/>
  <c r="D1391" i="1"/>
  <c r="E1391" i="1"/>
  <c r="F1391" i="1"/>
  <c r="G1391" i="1"/>
  <c r="H1391" i="1"/>
  <c r="I1391" i="1"/>
  <c r="A1392" i="1"/>
  <c r="B1392" i="1"/>
  <c r="C1392" i="1"/>
  <c r="D1392" i="1"/>
  <c r="E1392" i="1"/>
  <c r="F1392" i="1"/>
  <c r="G1392" i="1"/>
  <c r="H1392" i="1"/>
  <c r="I1392" i="1"/>
  <c r="A1393" i="1"/>
  <c r="B1393" i="1"/>
  <c r="C1393" i="1"/>
  <c r="D1393" i="1"/>
  <c r="E1393" i="1"/>
  <c r="F1393" i="1"/>
  <c r="G1393" i="1"/>
  <c r="H1393" i="1"/>
  <c r="I1393" i="1"/>
  <c r="A1394" i="1"/>
  <c r="B1394" i="1"/>
  <c r="C1394" i="1"/>
  <c r="D1394" i="1"/>
  <c r="E1394" i="1"/>
  <c r="F1394" i="1"/>
  <c r="G1394" i="1"/>
  <c r="H1394" i="1"/>
  <c r="I1394" i="1"/>
  <c r="A1395" i="1"/>
  <c r="B1395" i="1"/>
  <c r="C1395" i="1"/>
  <c r="D1395" i="1"/>
  <c r="E1395" i="1"/>
  <c r="F1395" i="1"/>
  <c r="G1395" i="1"/>
  <c r="H1395" i="1"/>
  <c r="I1395" i="1"/>
  <c r="A1396" i="1"/>
  <c r="B1396" i="1"/>
  <c r="C1396" i="1"/>
  <c r="D1396" i="1"/>
  <c r="E1396" i="1"/>
  <c r="F1396" i="1"/>
  <c r="G1396" i="1"/>
  <c r="H1396" i="1"/>
  <c r="I1396" i="1"/>
  <c r="A1397" i="1"/>
  <c r="B1397" i="1"/>
  <c r="C1397" i="1"/>
  <c r="D1397" i="1"/>
  <c r="E1397" i="1"/>
  <c r="F1397" i="1"/>
  <c r="G1397" i="1"/>
  <c r="H1397" i="1"/>
  <c r="I1397" i="1"/>
  <c r="A1398" i="1"/>
  <c r="B1398" i="1"/>
  <c r="C1398" i="1"/>
  <c r="D1398" i="1"/>
  <c r="E1398" i="1"/>
  <c r="F1398" i="1"/>
  <c r="G1398" i="1"/>
  <c r="H1398" i="1"/>
  <c r="I1398" i="1"/>
  <c r="A1399" i="1"/>
  <c r="B1399" i="1"/>
  <c r="C1399" i="1"/>
  <c r="D1399" i="1"/>
  <c r="E1399" i="1"/>
  <c r="F1399" i="1"/>
  <c r="G1399" i="1"/>
  <c r="H1399" i="1"/>
  <c r="I1399" i="1"/>
  <c r="A1400" i="1"/>
  <c r="B1400" i="1"/>
  <c r="C1400" i="1"/>
  <c r="D1400" i="1"/>
  <c r="E1400" i="1"/>
  <c r="F1400" i="1"/>
  <c r="G1400" i="1"/>
  <c r="H1400" i="1"/>
  <c r="I1400" i="1"/>
  <c r="A1401" i="1"/>
  <c r="B1401" i="1"/>
  <c r="C1401" i="1"/>
  <c r="D1401" i="1"/>
  <c r="E1401" i="1"/>
  <c r="F1401" i="1"/>
  <c r="G1401" i="1"/>
  <c r="H1401" i="1"/>
  <c r="I1401" i="1"/>
  <c r="A1402" i="1"/>
  <c r="B1402" i="1"/>
  <c r="C1402" i="1"/>
  <c r="D1402" i="1"/>
  <c r="E1402" i="1"/>
  <c r="F1402" i="1"/>
  <c r="G1402" i="1"/>
  <c r="H1402" i="1"/>
  <c r="I1402" i="1"/>
  <c r="A1403" i="1"/>
  <c r="B1403" i="1"/>
  <c r="C1403" i="1"/>
  <c r="D1403" i="1"/>
  <c r="E1403" i="1"/>
  <c r="F1403" i="1"/>
  <c r="G1403" i="1"/>
  <c r="H1403" i="1"/>
  <c r="I1403" i="1"/>
  <c r="A1404" i="1"/>
  <c r="B1404" i="1"/>
  <c r="C1404" i="1"/>
  <c r="D1404" i="1"/>
  <c r="E1404" i="1"/>
  <c r="F1404" i="1"/>
  <c r="G1404" i="1"/>
  <c r="H1404" i="1"/>
  <c r="I1404" i="1"/>
  <c r="A1405" i="1"/>
  <c r="B1405" i="1"/>
  <c r="C1405" i="1"/>
  <c r="D1405" i="1"/>
  <c r="E1405" i="1"/>
  <c r="F1405" i="1"/>
  <c r="G1405" i="1"/>
  <c r="H1405" i="1"/>
  <c r="I1405" i="1"/>
  <c r="A1406" i="1"/>
  <c r="B1406" i="1"/>
  <c r="C1406" i="1"/>
  <c r="D1406" i="1"/>
  <c r="E1406" i="1"/>
  <c r="F1406" i="1"/>
  <c r="G1406" i="1"/>
  <c r="H1406" i="1"/>
  <c r="I1406" i="1"/>
  <c r="A1407" i="1"/>
  <c r="B1407" i="1"/>
  <c r="C1407" i="1"/>
  <c r="D1407" i="1"/>
  <c r="E1407" i="1"/>
  <c r="F1407" i="1"/>
  <c r="G1407" i="1"/>
  <c r="H1407" i="1"/>
  <c r="I1407" i="1"/>
  <c r="A1408" i="1"/>
  <c r="B1408" i="1"/>
  <c r="C1408" i="1"/>
  <c r="D1408" i="1"/>
  <c r="E1408" i="1"/>
  <c r="F1408" i="1"/>
  <c r="G1408" i="1"/>
  <c r="H1408" i="1"/>
  <c r="I1408" i="1"/>
  <c r="A1409" i="1"/>
  <c r="B1409" i="1"/>
  <c r="C1409" i="1"/>
  <c r="D1409" i="1"/>
  <c r="E1409" i="1"/>
  <c r="F1409" i="1"/>
  <c r="G1409" i="1"/>
  <c r="H1409" i="1"/>
  <c r="I1409" i="1"/>
  <c r="A1410" i="1"/>
  <c r="B1410" i="1"/>
  <c r="C1410" i="1"/>
  <c r="D1410" i="1"/>
  <c r="E1410" i="1"/>
  <c r="F1410" i="1"/>
  <c r="G1410" i="1"/>
  <c r="H1410" i="1"/>
  <c r="I1410" i="1"/>
  <c r="A1411" i="1"/>
  <c r="B1411" i="1"/>
  <c r="C1411" i="1"/>
  <c r="D1411" i="1"/>
  <c r="E1411" i="1"/>
  <c r="F1411" i="1"/>
  <c r="G1411" i="1"/>
  <c r="H1411" i="1"/>
  <c r="I1411" i="1"/>
  <c r="A1412" i="1"/>
  <c r="B1412" i="1"/>
  <c r="C1412" i="1"/>
  <c r="D1412" i="1"/>
  <c r="E1412" i="1"/>
  <c r="F1412" i="1"/>
  <c r="G1412" i="1"/>
  <c r="H1412" i="1"/>
  <c r="I1412" i="1"/>
  <c r="A1413" i="1"/>
  <c r="B1413" i="1"/>
  <c r="C1413" i="1"/>
  <c r="D1413" i="1"/>
  <c r="E1413" i="1"/>
  <c r="F1413" i="1"/>
  <c r="G1413" i="1"/>
  <c r="H1413" i="1"/>
  <c r="I1413" i="1"/>
  <c r="A1414" i="1"/>
  <c r="B1414" i="1"/>
  <c r="C1414" i="1"/>
  <c r="D1414" i="1"/>
  <c r="E1414" i="1"/>
  <c r="F1414" i="1"/>
  <c r="G1414" i="1"/>
  <c r="H1414" i="1"/>
  <c r="I1414" i="1"/>
  <c r="A1415" i="1"/>
  <c r="B1415" i="1"/>
  <c r="C1415" i="1"/>
  <c r="D1415" i="1"/>
  <c r="E1415" i="1"/>
  <c r="F1415" i="1"/>
  <c r="G1415" i="1"/>
  <c r="H1415" i="1"/>
  <c r="I1415" i="1"/>
  <c r="A1416" i="1"/>
  <c r="B1416" i="1"/>
  <c r="C1416" i="1"/>
  <c r="D1416" i="1"/>
  <c r="E1416" i="1"/>
  <c r="F1416" i="1"/>
  <c r="G1416" i="1"/>
  <c r="H1416" i="1"/>
  <c r="I1416" i="1"/>
  <c r="A1417" i="1"/>
  <c r="B1417" i="1"/>
  <c r="C1417" i="1"/>
  <c r="D1417" i="1"/>
  <c r="E1417" i="1"/>
  <c r="F1417" i="1"/>
  <c r="G1417" i="1"/>
  <c r="H1417" i="1"/>
  <c r="I1417" i="1"/>
  <c r="A1418" i="1"/>
  <c r="B1418" i="1"/>
  <c r="C1418" i="1"/>
  <c r="D1418" i="1"/>
  <c r="E1418" i="1"/>
  <c r="F1418" i="1"/>
  <c r="G1418" i="1"/>
  <c r="H1418" i="1"/>
  <c r="I1418" i="1"/>
  <c r="A1419" i="1"/>
  <c r="B1419" i="1"/>
  <c r="C1419" i="1"/>
  <c r="D1419" i="1"/>
  <c r="E1419" i="1"/>
  <c r="F1419" i="1"/>
  <c r="G1419" i="1"/>
  <c r="H1419" i="1"/>
  <c r="I1419" i="1"/>
  <c r="A1420" i="1"/>
  <c r="B1420" i="1"/>
  <c r="C1420" i="1"/>
  <c r="D1420" i="1"/>
  <c r="E1420" i="1"/>
  <c r="F1420" i="1"/>
  <c r="G1420" i="1"/>
  <c r="H1420" i="1"/>
  <c r="I1420" i="1"/>
  <c r="A1421" i="1"/>
  <c r="B1421" i="1"/>
  <c r="C1421" i="1"/>
  <c r="D1421" i="1"/>
  <c r="E1421" i="1"/>
  <c r="F1421" i="1"/>
  <c r="G1421" i="1"/>
  <c r="H1421" i="1"/>
  <c r="I1421" i="1"/>
  <c r="A1422" i="1"/>
  <c r="B1422" i="1"/>
  <c r="C1422" i="1"/>
  <c r="D1422" i="1"/>
  <c r="E1422" i="1"/>
  <c r="F1422" i="1"/>
  <c r="G1422" i="1"/>
  <c r="H1422" i="1"/>
  <c r="I1422" i="1"/>
  <c r="A1423" i="1"/>
  <c r="B1423" i="1"/>
  <c r="C1423" i="1"/>
  <c r="D1423" i="1"/>
  <c r="E1423" i="1"/>
  <c r="F1423" i="1"/>
  <c r="G1423" i="1"/>
  <c r="H1423" i="1"/>
  <c r="I1423" i="1"/>
  <c r="A1424" i="1"/>
  <c r="B1424" i="1"/>
  <c r="C1424" i="1"/>
  <c r="D1424" i="1"/>
  <c r="E1424" i="1"/>
  <c r="F1424" i="1"/>
  <c r="G1424" i="1"/>
  <c r="H1424" i="1"/>
  <c r="I1424" i="1"/>
  <c r="A1425" i="1"/>
  <c r="B1425" i="1"/>
  <c r="C1425" i="1"/>
  <c r="D1425" i="1"/>
  <c r="E1425" i="1"/>
  <c r="F1425" i="1"/>
  <c r="G1425" i="1"/>
  <c r="H1425" i="1"/>
  <c r="I1425" i="1"/>
  <c r="A1426" i="1"/>
  <c r="B1426" i="1"/>
  <c r="C1426" i="1"/>
  <c r="D1426" i="1"/>
  <c r="E1426" i="1"/>
  <c r="F1426" i="1"/>
  <c r="G1426" i="1"/>
  <c r="H1426" i="1"/>
  <c r="I1426" i="1"/>
  <c r="A1427" i="1"/>
  <c r="B1427" i="1"/>
  <c r="C1427" i="1"/>
  <c r="D1427" i="1"/>
  <c r="E1427" i="1"/>
  <c r="F1427" i="1"/>
  <c r="G1427" i="1"/>
  <c r="H1427" i="1"/>
  <c r="I1427" i="1"/>
  <c r="A1428" i="1"/>
  <c r="B1428" i="1"/>
  <c r="C1428" i="1"/>
  <c r="D1428" i="1"/>
  <c r="E1428" i="1"/>
  <c r="F1428" i="1"/>
  <c r="G1428" i="1"/>
  <c r="H1428" i="1"/>
  <c r="I1428" i="1"/>
  <c r="A1429" i="1"/>
  <c r="B1429" i="1"/>
  <c r="C1429" i="1"/>
  <c r="D1429" i="1"/>
  <c r="E1429" i="1"/>
  <c r="F1429" i="1"/>
  <c r="G1429" i="1"/>
  <c r="H1429" i="1"/>
  <c r="I1429" i="1"/>
  <c r="A1430" i="1"/>
  <c r="B1430" i="1"/>
  <c r="C1430" i="1"/>
  <c r="D1430" i="1"/>
  <c r="E1430" i="1"/>
  <c r="F1430" i="1"/>
  <c r="G1430" i="1"/>
  <c r="H1430" i="1"/>
  <c r="I1430" i="1"/>
  <c r="A1431" i="1"/>
  <c r="B1431" i="1"/>
  <c r="C1431" i="1"/>
  <c r="D1431" i="1"/>
  <c r="E1431" i="1"/>
  <c r="F1431" i="1"/>
  <c r="G1431" i="1"/>
  <c r="H1431" i="1"/>
  <c r="I1431" i="1"/>
  <c r="A1432" i="1"/>
  <c r="B1432" i="1"/>
  <c r="C1432" i="1"/>
  <c r="D1432" i="1"/>
  <c r="E1432" i="1"/>
  <c r="F1432" i="1"/>
  <c r="G1432" i="1"/>
  <c r="H1432" i="1"/>
  <c r="I1432" i="1"/>
  <c r="A1433" i="1"/>
  <c r="B1433" i="1"/>
  <c r="C1433" i="1"/>
  <c r="D1433" i="1"/>
  <c r="E1433" i="1"/>
  <c r="F1433" i="1"/>
  <c r="G1433" i="1"/>
  <c r="H1433" i="1"/>
  <c r="I1433" i="1"/>
  <c r="A1434" i="1"/>
  <c r="B1434" i="1"/>
  <c r="C1434" i="1"/>
  <c r="D1434" i="1"/>
  <c r="E1434" i="1"/>
  <c r="F1434" i="1"/>
  <c r="G1434" i="1"/>
  <c r="H1434" i="1"/>
  <c r="I1434" i="1"/>
  <c r="A1435" i="1"/>
  <c r="B1435" i="1"/>
  <c r="C1435" i="1"/>
  <c r="D1435" i="1"/>
  <c r="E1435" i="1"/>
  <c r="F1435" i="1"/>
  <c r="G1435" i="1"/>
  <c r="H1435" i="1"/>
  <c r="I1435" i="1"/>
  <c r="A1436" i="1"/>
  <c r="B1436" i="1"/>
  <c r="C1436" i="1"/>
  <c r="D1436" i="1"/>
  <c r="E1436" i="1"/>
  <c r="F1436" i="1"/>
  <c r="G1436" i="1"/>
  <c r="H1436" i="1"/>
  <c r="I1436" i="1"/>
  <c r="A1437" i="1"/>
  <c r="B1437" i="1"/>
  <c r="C1437" i="1"/>
  <c r="D1437" i="1"/>
  <c r="E1437" i="1"/>
  <c r="F1437" i="1"/>
  <c r="G1437" i="1"/>
  <c r="H1437" i="1"/>
  <c r="I1437" i="1"/>
  <c r="A1438" i="1"/>
  <c r="B1438" i="1"/>
  <c r="C1438" i="1"/>
  <c r="D1438" i="1"/>
  <c r="E1438" i="1"/>
  <c r="F1438" i="1"/>
  <c r="G1438" i="1"/>
  <c r="H1438" i="1"/>
  <c r="I1438" i="1"/>
  <c r="A1439" i="1"/>
  <c r="B1439" i="1"/>
  <c r="C1439" i="1"/>
  <c r="D1439" i="1"/>
  <c r="E1439" i="1"/>
  <c r="F1439" i="1"/>
  <c r="G1439" i="1"/>
  <c r="H1439" i="1"/>
  <c r="I1439" i="1"/>
  <c r="A1440" i="1"/>
  <c r="B1440" i="1"/>
  <c r="C1440" i="1"/>
  <c r="D1440" i="1"/>
  <c r="E1440" i="1"/>
  <c r="F1440" i="1"/>
  <c r="G1440" i="1"/>
  <c r="H1440" i="1"/>
  <c r="I1440" i="1"/>
  <c r="A1441" i="1"/>
  <c r="B1441" i="1"/>
  <c r="C1441" i="1"/>
  <c r="D1441" i="1"/>
  <c r="E1441" i="1"/>
  <c r="F1441" i="1"/>
  <c r="G1441" i="1"/>
  <c r="H1441" i="1"/>
  <c r="I1441" i="1"/>
  <c r="A1442" i="1"/>
  <c r="B1442" i="1"/>
  <c r="C1442" i="1"/>
  <c r="D1442" i="1"/>
  <c r="E1442" i="1"/>
  <c r="F1442" i="1"/>
  <c r="G1442" i="1"/>
  <c r="H1442" i="1"/>
  <c r="I1442" i="1"/>
  <c r="A1443" i="1"/>
  <c r="B1443" i="1"/>
  <c r="C1443" i="1"/>
  <c r="D1443" i="1"/>
  <c r="E1443" i="1"/>
  <c r="F1443" i="1"/>
  <c r="G1443" i="1"/>
  <c r="H1443" i="1"/>
  <c r="I1443" i="1"/>
  <c r="A1444" i="1"/>
  <c r="B1444" i="1"/>
  <c r="C1444" i="1"/>
  <c r="D1444" i="1"/>
  <c r="E1444" i="1"/>
  <c r="F1444" i="1"/>
  <c r="G1444" i="1"/>
  <c r="H1444" i="1"/>
  <c r="I1444" i="1"/>
  <c r="A1445" i="1"/>
  <c r="B1445" i="1"/>
  <c r="C1445" i="1"/>
  <c r="D1445" i="1"/>
  <c r="E1445" i="1"/>
  <c r="F1445" i="1"/>
  <c r="G1445" i="1"/>
  <c r="H1445" i="1"/>
  <c r="I1445" i="1"/>
  <c r="A1446" i="1"/>
  <c r="B1446" i="1"/>
  <c r="C1446" i="1"/>
  <c r="D1446" i="1"/>
  <c r="E1446" i="1"/>
  <c r="F1446" i="1"/>
  <c r="G1446" i="1"/>
  <c r="H1446" i="1"/>
  <c r="I1446" i="1"/>
  <c r="A1447" i="1"/>
  <c r="B1447" i="1"/>
  <c r="C1447" i="1"/>
  <c r="D1447" i="1"/>
  <c r="E1447" i="1"/>
  <c r="F1447" i="1"/>
  <c r="G1447" i="1"/>
  <c r="H1447" i="1"/>
  <c r="I1447" i="1"/>
  <c r="A1448" i="1"/>
  <c r="B1448" i="1"/>
  <c r="C1448" i="1"/>
  <c r="D1448" i="1"/>
  <c r="E1448" i="1"/>
  <c r="F1448" i="1"/>
  <c r="G1448" i="1"/>
  <c r="H1448" i="1"/>
  <c r="I1448" i="1"/>
  <c r="A1449" i="1"/>
  <c r="B1449" i="1"/>
  <c r="C1449" i="1"/>
  <c r="D1449" i="1"/>
  <c r="E1449" i="1"/>
  <c r="F1449" i="1"/>
  <c r="G1449" i="1"/>
  <c r="H1449" i="1"/>
  <c r="I1449" i="1"/>
  <c r="A1450" i="1"/>
  <c r="B1450" i="1"/>
  <c r="C1450" i="1"/>
  <c r="D1450" i="1"/>
  <c r="E1450" i="1"/>
  <c r="F1450" i="1"/>
  <c r="G1450" i="1"/>
  <c r="H1450" i="1"/>
  <c r="I1450" i="1"/>
  <c r="A1451" i="1"/>
  <c r="B1451" i="1"/>
  <c r="C1451" i="1"/>
  <c r="D1451" i="1"/>
  <c r="E1451" i="1"/>
  <c r="F1451" i="1"/>
  <c r="G1451" i="1"/>
  <c r="H1451" i="1"/>
  <c r="I1451" i="1"/>
  <c r="A1452" i="1"/>
  <c r="B1452" i="1"/>
  <c r="C1452" i="1"/>
  <c r="D1452" i="1"/>
  <c r="E1452" i="1"/>
  <c r="F1452" i="1"/>
  <c r="G1452" i="1"/>
  <c r="H1452" i="1"/>
  <c r="I1452" i="1"/>
  <c r="A1453" i="1"/>
  <c r="B1453" i="1"/>
  <c r="C1453" i="1"/>
  <c r="D1453" i="1"/>
  <c r="E1453" i="1"/>
  <c r="F1453" i="1"/>
  <c r="G1453" i="1"/>
  <c r="H1453" i="1"/>
  <c r="I1453" i="1"/>
  <c r="A1454" i="1"/>
  <c r="B1454" i="1"/>
  <c r="C1454" i="1"/>
  <c r="D1454" i="1"/>
  <c r="E1454" i="1"/>
  <c r="F1454" i="1"/>
  <c r="G1454" i="1"/>
  <c r="H1454" i="1"/>
  <c r="I1454" i="1"/>
  <c r="A1455" i="1"/>
  <c r="B1455" i="1"/>
  <c r="C1455" i="1"/>
  <c r="D1455" i="1"/>
  <c r="E1455" i="1"/>
  <c r="F1455" i="1"/>
  <c r="G1455" i="1"/>
  <c r="H1455" i="1"/>
  <c r="I1455" i="1"/>
  <c r="A1456" i="1"/>
  <c r="B1456" i="1"/>
  <c r="C1456" i="1"/>
  <c r="D1456" i="1"/>
  <c r="E1456" i="1"/>
  <c r="F1456" i="1"/>
  <c r="G1456" i="1"/>
  <c r="H1456" i="1"/>
  <c r="I1456" i="1"/>
  <c r="A1457" i="1"/>
  <c r="B1457" i="1"/>
  <c r="C1457" i="1"/>
  <c r="D1457" i="1"/>
  <c r="E1457" i="1"/>
  <c r="F1457" i="1"/>
  <c r="G1457" i="1"/>
  <c r="H1457" i="1"/>
  <c r="I1457" i="1"/>
  <c r="A1458" i="1"/>
  <c r="B1458" i="1"/>
  <c r="C1458" i="1"/>
  <c r="D1458" i="1"/>
  <c r="E1458" i="1"/>
  <c r="F1458" i="1"/>
  <c r="G1458" i="1"/>
  <c r="H1458" i="1"/>
  <c r="I1458" i="1"/>
  <c r="A1459" i="1"/>
  <c r="B1459" i="1"/>
  <c r="C1459" i="1"/>
  <c r="D1459" i="1"/>
  <c r="E1459" i="1"/>
  <c r="F1459" i="1"/>
  <c r="G1459" i="1"/>
  <c r="H1459" i="1"/>
  <c r="I1459" i="1"/>
  <c r="A1460" i="1"/>
  <c r="B1460" i="1"/>
  <c r="C1460" i="1"/>
  <c r="D1460" i="1"/>
  <c r="E1460" i="1"/>
  <c r="F1460" i="1"/>
  <c r="G1460" i="1"/>
  <c r="H1460" i="1"/>
  <c r="I1460" i="1"/>
  <c r="A1461" i="1"/>
  <c r="B1461" i="1"/>
  <c r="C1461" i="1"/>
  <c r="D1461" i="1"/>
  <c r="E1461" i="1"/>
  <c r="F1461" i="1"/>
  <c r="G1461" i="1"/>
  <c r="H1461" i="1"/>
  <c r="I1461" i="1"/>
  <c r="A1462" i="1"/>
  <c r="B1462" i="1"/>
  <c r="C1462" i="1"/>
  <c r="D1462" i="1"/>
  <c r="E1462" i="1"/>
  <c r="F1462" i="1"/>
  <c r="G1462" i="1"/>
  <c r="H1462" i="1"/>
  <c r="I1462" i="1"/>
  <c r="A1463" i="1"/>
  <c r="B1463" i="1"/>
  <c r="C1463" i="1"/>
  <c r="D1463" i="1"/>
  <c r="E1463" i="1"/>
  <c r="F1463" i="1"/>
  <c r="G1463" i="1"/>
  <c r="H1463" i="1"/>
  <c r="I1463" i="1"/>
  <c r="A1464" i="1"/>
  <c r="B1464" i="1"/>
  <c r="C1464" i="1"/>
  <c r="D1464" i="1"/>
  <c r="E1464" i="1"/>
  <c r="F1464" i="1"/>
  <c r="G1464" i="1"/>
  <c r="H1464" i="1"/>
  <c r="I1464" i="1"/>
  <c r="A1465" i="1"/>
  <c r="B1465" i="1"/>
  <c r="C1465" i="1"/>
  <c r="D1465" i="1"/>
  <c r="E1465" i="1"/>
  <c r="F1465" i="1"/>
  <c r="G1465" i="1"/>
  <c r="H1465" i="1"/>
  <c r="I1465" i="1"/>
  <c r="A1466" i="1"/>
  <c r="B1466" i="1"/>
  <c r="C1466" i="1"/>
  <c r="D1466" i="1"/>
  <c r="E1466" i="1"/>
  <c r="F1466" i="1"/>
  <c r="G1466" i="1"/>
  <c r="H1466" i="1"/>
  <c r="I1466" i="1"/>
  <c r="A1467" i="1"/>
  <c r="B1467" i="1"/>
  <c r="C1467" i="1"/>
  <c r="D1467" i="1"/>
  <c r="E1467" i="1"/>
  <c r="F1467" i="1"/>
  <c r="G1467" i="1"/>
  <c r="H1467" i="1"/>
  <c r="I1467" i="1"/>
  <c r="A1468" i="1"/>
  <c r="B1468" i="1"/>
  <c r="C1468" i="1"/>
  <c r="D1468" i="1"/>
  <c r="E1468" i="1"/>
  <c r="F1468" i="1"/>
  <c r="G1468" i="1"/>
  <c r="H1468" i="1"/>
  <c r="I1468" i="1"/>
  <c r="A1469" i="1"/>
  <c r="B1469" i="1"/>
  <c r="C1469" i="1"/>
  <c r="D1469" i="1"/>
  <c r="E1469" i="1"/>
  <c r="F1469" i="1"/>
  <c r="G1469" i="1"/>
  <c r="H1469" i="1"/>
  <c r="I1469" i="1"/>
  <c r="A1470" i="1"/>
  <c r="B1470" i="1"/>
  <c r="C1470" i="1"/>
  <c r="D1470" i="1"/>
  <c r="E1470" i="1"/>
  <c r="F1470" i="1"/>
  <c r="G1470" i="1"/>
  <c r="H1470" i="1"/>
  <c r="I1470" i="1"/>
  <c r="A1471" i="1"/>
  <c r="B1471" i="1"/>
  <c r="C1471" i="1"/>
  <c r="D1471" i="1"/>
  <c r="E1471" i="1"/>
  <c r="F1471" i="1"/>
  <c r="G1471" i="1"/>
  <c r="H1471" i="1"/>
  <c r="I1471" i="1"/>
  <c r="A1472" i="1"/>
  <c r="B1472" i="1"/>
  <c r="C1472" i="1"/>
  <c r="D1472" i="1"/>
  <c r="E1472" i="1"/>
  <c r="F1472" i="1"/>
  <c r="G1472" i="1"/>
  <c r="H1472" i="1"/>
  <c r="I1472" i="1"/>
  <c r="A1473" i="1"/>
  <c r="B1473" i="1"/>
  <c r="C1473" i="1"/>
  <c r="D1473" i="1"/>
  <c r="E1473" i="1"/>
  <c r="F1473" i="1"/>
  <c r="G1473" i="1"/>
  <c r="H1473" i="1"/>
  <c r="I1473" i="1"/>
  <c r="A1474" i="1"/>
  <c r="B1474" i="1"/>
  <c r="C1474" i="1"/>
  <c r="D1474" i="1"/>
  <c r="E1474" i="1"/>
  <c r="F1474" i="1"/>
  <c r="G1474" i="1"/>
  <c r="H1474" i="1"/>
  <c r="I1474" i="1"/>
  <c r="A1475" i="1"/>
  <c r="B1475" i="1"/>
  <c r="C1475" i="1"/>
  <c r="D1475" i="1"/>
  <c r="E1475" i="1"/>
  <c r="F1475" i="1"/>
  <c r="G1475" i="1"/>
  <c r="H1475" i="1"/>
  <c r="I1475" i="1"/>
  <c r="A1476" i="1"/>
  <c r="B1476" i="1"/>
  <c r="C1476" i="1"/>
  <c r="D1476" i="1"/>
  <c r="E1476" i="1"/>
  <c r="F1476" i="1"/>
  <c r="G1476" i="1"/>
  <c r="H1476" i="1"/>
  <c r="I1476" i="1"/>
  <c r="A1477" i="1"/>
  <c r="B1477" i="1"/>
  <c r="C1477" i="1"/>
  <c r="D1477" i="1"/>
  <c r="E1477" i="1"/>
  <c r="F1477" i="1"/>
  <c r="G1477" i="1"/>
  <c r="H1477" i="1"/>
  <c r="I1477" i="1"/>
  <c r="A1478" i="1"/>
  <c r="B1478" i="1"/>
  <c r="C1478" i="1"/>
  <c r="D1478" i="1"/>
  <c r="E1478" i="1"/>
  <c r="F1478" i="1"/>
  <c r="G1478" i="1"/>
  <c r="H1478" i="1"/>
  <c r="I1478" i="1"/>
  <c r="A1479" i="1"/>
  <c r="B1479" i="1"/>
  <c r="C1479" i="1"/>
  <c r="D1479" i="1"/>
  <c r="E1479" i="1"/>
  <c r="F1479" i="1"/>
  <c r="G1479" i="1"/>
  <c r="H1479" i="1"/>
  <c r="I1479" i="1"/>
  <c r="A1480" i="1"/>
  <c r="B1480" i="1"/>
  <c r="C1480" i="1"/>
  <c r="D1480" i="1"/>
  <c r="E1480" i="1"/>
  <c r="F1480" i="1"/>
  <c r="G1480" i="1"/>
  <c r="H1480" i="1"/>
  <c r="I1480" i="1"/>
  <c r="A1481" i="1"/>
  <c r="B1481" i="1"/>
  <c r="C1481" i="1"/>
  <c r="D1481" i="1"/>
  <c r="E1481" i="1"/>
  <c r="F1481" i="1"/>
  <c r="G1481" i="1"/>
  <c r="H1481" i="1"/>
  <c r="I1481" i="1"/>
  <c r="A1482" i="1"/>
  <c r="B1482" i="1"/>
  <c r="C1482" i="1"/>
  <c r="D1482" i="1"/>
  <c r="E1482" i="1"/>
  <c r="F1482" i="1"/>
  <c r="G1482" i="1"/>
  <c r="H1482" i="1"/>
  <c r="I1482" i="1"/>
  <c r="A1483" i="1"/>
  <c r="B1483" i="1"/>
  <c r="C1483" i="1"/>
  <c r="D1483" i="1"/>
  <c r="E1483" i="1"/>
  <c r="F1483" i="1"/>
  <c r="G1483" i="1"/>
  <c r="H1483" i="1"/>
  <c r="I1483" i="1"/>
  <c r="A1484" i="1"/>
  <c r="B1484" i="1"/>
  <c r="C1484" i="1"/>
  <c r="D1484" i="1"/>
  <c r="E1484" i="1"/>
  <c r="F1484" i="1"/>
  <c r="G1484" i="1"/>
  <c r="H1484" i="1"/>
  <c r="I1484" i="1"/>
  <c r="A1485" i="1"/>
  <c r="B1485" i="1"/>
  <c r="C1485" i="1"/>
  <c r="D1485" i="1"/>
  <c r="E1485" i="1"/>
  <c r="F1485" i="1"/>
  <c r="G1485" i="1"/>
  <c r="H1485" i="1"/>
  <c r="I1485" i="1"/>
  <c r="A1486" i="1"/>
  <c r="B1486" i="1"/>
  <c r="C1486" i="1"/>
  <c r="D1486" i="1"/>
  <c r="E1486" i="1"/>
  <c r="F1486" i="1"/>
  <c r="G1486" i="1"/>
  <c r="H1486" i="1"/>
  <c r="I1486" i="1"/>
  <c r="A1487" i="1"/>
  <c r="B1487" i="1"/>
  <c r="C1487" i="1"/>
  <c r="D1487" i="1"/>
  <c r="E1487" i="1"/>
  <c r="F1487" i="1"/>
  <c r="G1487" i="1"/>
  <c r="H1487" i="1"/>
  <c r="I1487" i="1"/>
  <c r="A1488" i="1"/>
  <c r="B1488" i="1"/>
  <c r="C1488" i="1"/>
  <c r="D1488" i="1"/>
  <c r="E1488" i="1"/>
  <c r="F1488" i="1"/>
  <c r="G1488" i="1"/>
  <c r="H1488" i="1"/>
  <c r="I1488" i="1"/>
  <c r="A1489" i="1"/>
  <c r="B1489" i="1"/>
  <c r="C1489" i="1"/>
  <c r="D1489" i="1"/>
  <c r="E1489" i="1"/>
  <c r="F1489" i="1"/>
  <c r="G1489" i="1"/>
  <c r="H1489" i="1"/>
  <c r="I1489" i="1"/>
  <c r="A1490" i="1"/>
  <c r="B1490" i="1"/>
  <c r="C1490" i="1"/>
  <c r="D1490" i="1"/>
  <c r="E1490" i="1"/>
  <c r="F1490" i="1"/>
  <c r="G1490" i="1"/>
  <c r="H1490" i="1"/>
  <c r="I1490" i="1"/>
  <c r="A1491" i="1"/>
  <c r="B1491" i="1"/>
  <c r="C1491" i="1"/>
  <c r="D1491" i="1"/>
  <c r="E1491" i="1"/>
  <c r="F1491" i="1"/>
  <c r="G1491" i="1"/>
  <c r="H1491" i="1"/>
  <c r="I1491" i="1"/>
  <c r="A1492" i="1"/>
  <c r="B1492" i="1"/>
  <c r="C1492" i="1"/>
  <c r="D1492" i="1"/>
  <c r="E1492" i="1"/>
  <c r="F1492" i="1"/>
  <c r="G1492" i="1"/>
  <c r="H1492" i="1"/>
  <c r="I1492" i="1"/>
  <c r="A1493" i="1"/>
  <c r="B1493" i="1"/>
  <c r="C1493" i="1"/>
  <c r="D1493" i="1"/>
  <c r="E1493" i="1"/>
  <c r="F1493" i="1"/>
  <c r="G1493" i="1"/>
  <c r="H1493" i="1"/>
  <c r="I1493" i="1"/>
  <c r="A1494" i="1"/>
  <c r="B1494" i="1"/>
  <c r="C1494" i="1"/>
  <c r="D1494" i="1"/>
  <c r="E1494" i="1"/>
  <c r="F1494" i="1"/>
  <c r="G1494" i="1"/>
  <c r="H1494" i="1"/>
  <c r="I1494" i="1"/>
  <c r="A1495" i="1"/>
  <c r="B1495" i="1"/>
  <c r="C1495" i="1"/>
  <c r="D1495" i="1"/>
  <c r="E1495" i="1"/>
  <c r="F1495" i="1"/>
  <c r="G1495" i="1"/>
  <c r="H1495" i="1"/>
  <c r="I1495" i="1"/>
  <c r="A1496" i="1"/>
  <c r="B1496" i="1"/>
  <c r="C1496" i="1"/>
  <c r="D1496" i="1"/>
  <c r="E1496" i="1"/>
  <c r="F1496" i="1"/>
  <c r="G1496" i="1"/>
  <c r="H1496" i="1"/>
  <c r="I1496" i="1"/>
  <c r="A1497" i="1"/>
  <c r="B1497" i="1"/>
  <c r="C1497" i="1"/>
  <c r="D1497" i="1"/>
  <c r="E1497" i="1"/>
  <c r="F1497" i="1"/>
  <c r="G1497" i="1"/>
  <c r="H1497" i="1"/>
  <c r="I1497" i="1"/>
  <c r="A1498" i="1"/>
  <c r="B1498" i="1"/>
  <c r="C1498" i="1"/>
  <c r="D1498" i="1"/>
  <c r="E1498" i="1"/>
  <c r="F1498" i="1"/>
  <c r="G1498" i="1"/>
  <c r="H1498" i="1"/>
  <c r="I1498" i="1"/>
  <c r="A1499" i="1"/>
  <c r="B1499" i="1"/>
  <c r="C1499" i="1"/>
  <c r="D1499" i="1"/>
  <c r="E1499" i="1"/>
  <c r="F1499" i="1"/>
  <c r="G1499" i="1"/>
  <c r="H1499" i="1"/>
  <c r="I1499" i="1"/>
  <c r="A1500" i="1"/>
  <c r="B1500" i="1"/>
  <c r="C1500" i="1"/>
  <c r="D1500" i="1"/>
  <c r="E1500" i="1"/>
  <c r="F1500" i="1"/>
  <c r="G1500" i="1"/>
  <c r="H1500" i="1"/>
  <c r="I1500" i="1"/>
  <c r="A1501" i="1"/>
  <c r="B1501" i="1"/>
  <c r="C1501" i="1"/>
  <c r="D1501" i="1"/>
  <c r="E1501" i="1"/>
  <c r="F1501" i="1"/>
  <c r="G1501" i="1"/>
  <c r="H1501" i="1"/>
  <c r="I1501" i="1"/>
  <c r="A1502" i="1"/>
  <c r="B1502" i="1"/>
  <c r="C1502" i="1"/>
  <c r="D1502" i="1"/>
  <c r="E1502" i="1"/>
  <c r="F1502" i="1"/>
  <c r="G1502" i="1"/>
  <c r="H1502" i="1"/>
  <c r="I1502" i="1"/>
  <c r="A1503" i="1"/>
  <c r="B1503" i="1"/>
  <c r="C1503" i="1"/>
  <c r="D1503" i="1"/>
  <c r="E1503" i="1"/>
  <c r="F1503" i="1"/>
  <c r="G1503" i="1"/>
  <c r="H1503" i="1"/>
  <c r="I1503" i="1"/>
  <c r="A1504" i="1"/>
  <c r="B1504" i="1"/>
  <c r="C1504" i="1"/>
  <c r="D1504" i="1"/>
  <c r="E1504" i="1"/>
  <c r="F1504" i="1"/>
  <c r="G1504" i="1"/>
  <c r="H1504" i="1"/>
  <c r="I1504" i="1"/>
  <c r="A1505" i="1"/>
  <c r="B1505" i="1"/>
  <c r="C1505" i="1"/>
  <c r="D1505" i="1"/>
  <c r="E1505" i="1"/>
  <c r="F1505" i="1"/>
  <c r="G1505" i="1"/>
  <c r="H1505" i="1"/>
  <c r="I1505" i="1"/>
  <c r="A1506" i="1"/>
  <c r="B1506" i="1"/>
  <c r="C1506" i="1"/>
  <c r="D1506" i="1"/>
  <c r="E1506" i="1"/>
  <c r="F1506" i="1"/>
  <c r="G1506" i="1"/>
  <c r="H1506" i="1"/>
  <c r="I1506" i="1"/>
  <c r="A1507" i="1"/>
  <c r="B1507" i="1"/>
  <c r="C1507" i="1"/>
  <c r="D1507" i="1"/>
  <c r="E1507" i="1"/>
  <c r="F1507" i="1"/>
  <c r="G1507" i="1"/>
  <c r="H1507" i="1"/>
  <c r="I1507" i="1"/>
  <c r="A1508" i="1"/>
  <c r="B1508" i="1"/>
  <c r="C1508" i="1"/>
  <c r="D1508" i="1"/>
  <c r="E1508" i="1"/>
  <c r="F1508" i="1"/>
  <c r="G1508" i="1"/>
  <c r="H1508" i="1"/>
  <c r="I1508" i="1"/>
  <c r="A1509" i="1"/>
  <c r="B1509" i="1"/>
  <c r="C1509" i="1"/>
  <c r="D1509" i="1"/>
  <c r="E1509" i="1"/>
  <c r="F1509" i="1"/>
  <c r="G1509" i="1"/>
  <c r="H1509" i="1"/>
  <c r="I1509" i="1"/>
  <c r="A1510" i="1"/>
  <c r="B1510" i="1"/>
  <c r="C1510" i="1"/>
  <c r="D1510" i="1"/>
  <c r="E1510" i="1"/>
  <c r="F1510" i="1"/>
  <c r="G1510" i="1"/>
  <c r="H1510" i="1"/>
  <c r="I1510" i="1"/>
  <c r="A1511" i="1"/>
  <c r="B1511" i="1"/>
  <c r="C1511" i="1"/>
  <c r="D1511" i="1"/>
  <c r="E1511" i="1"/>
  <c r="F1511" i="1"/>
  <c r="G1511" i="1"/>
  <c r="H1511" i="1"/>
  <c r="I1511" i="1"/>
  <c r="A1512" i="1"/>
  <c r="B1512" i="1"/>
  <c r="C1512" i="1"/>
  <c r="D1512" i="1"/>
  <c r="E1512" i="1"/>
  <c r="F1512" i="1"/>
  <c r="G1512" i="1"/>
  <c r="H1512" i="1"/>
  <c r="I1512" i="1"/>
  <c r="A1513" i="1"/>
  <c r="B1513" i="1"/>
  <c r="C1513" i="1"/>
  <c r="D1513" i="1"/>
  <c r="E1513" i="1"/>
  <c r="F1513" i="1"/>
  <c r="G1513" i="1"/>
  <c r="H1513" i="1"/>
  <c r="I1513" i="1"/>
  <c r="A1514" i="1"/>
  <c r="B1514" i="1"/>
  <c r="C1514" i="1"/>
  <c r="D1514" i="1"/>
  <c r="E1514" i="1"/>
  <c r="F1514" i="1"/>
  <c r="G1514" i="1"/>
  <c r="H1514" i="1"/>
  <c r="I1514" i="1"/>
  <c r="A1515" i="1"/>
  <c r="B1515" i="1"/>
  <c r="C1515" i="1"/>
  <c r="D1515" i="1"/>
  <c r="E1515" i="1"/>
  <c r="F1515" i="1"/>
  <c r="G1515" i="1"/>
  <c r="H1515" i="1"/>
  <c r="I1515" i="1"/>
  <c r="A1516" i="1"/>
  <c r="B1516" i="1"/>
  <c r="C1516" i="1"/>
  <c r="D1516" i="1"/>
  <c r="E1516" i="1"/>
  <c r="F1516" i="1"/>
  <c r="G1516" i="1"/>
  <c r="H1516" i="1"/>
  <c r="I1516" i="1"/>
  <c r="A1517" i="1"/>
  <c r="B1517" i="1"/>
  <c r="C1517" i="1"/>
  <c r="D1517" i="1"/>
  <c r="E1517" i="1"/>
  <c r="F1517" i="1"/>
  <c r="G1517" i="1"/>
  <c r="H1517" i="1"/>
  <c r="I1517" i="1"/>
  <c r="A1518" i="1"/>
  <c r="B1518" i="1"/>
  <c r="C1518" i="1"/>
  <c r="D1518" i="1"/>
  <c r="E1518" i="1"/>
  <c r="F1518" i="1"/>
  <c r="G1518" i="1"/>
  <c r="H1518" i="1"/>
  <c r="I1518" i="1"/>
  <c r="A1519" i="1"/>
  <c r="B1519" i="1"/>
  <c r="C1519" i="1"/>
  <c r="D1519" i="1"/>
  <c r="E1519" i="1"/>
  <c r="F1519" i="1"/>
  <c r="G1519" i="1"/>
  <c r="H1519" i="1"/>
  <c r="I1519" i="1"/>
  <c r="A1520" i="1"/>
  <c r="B1520" i="1"/>
  <c r="C1520" i="1"/>
  <c r="D1520" i="1"/>
  <c r="E1520" i="1"/>
  <c r="F1520" i="1"/>
  <c r="G1520" i="1"/>
  <c r="H1520" i="1"/>
  <c r="I1520" i="1"/>
  <c r="A1521" i="1"/>
  <c r="B1521" i="1"/>
  <c r="C1521" i="1"/>
  <c r="D1521" i="1"/>
  <c r="E1521" i="1"/>
  <c r="F1521" i="1"/>
  <c r="G1521" i="1"/>
  <c r="H1521" i="1"/>
  <c r="I1521" i="1"/>
  <c r="A1522" i="1"/>
  <c r="B1522" i="1"/>
  <c r="C1522" i="1"/>
  <c r="D1522" i="1"/>
  <c r="E1522" i="1"/>
  <c r="F1522" i="1"/>
  <c r="G1522" i="1"/>
  <c r="H1522" i="1"/>
  <c r="I1522" i="1"/>
  <c r="A1523" i="1"/>
  <c r="B1523" i="1"/>
  <c r="C1523" i="1"/>
  <c r="D1523" i="1"/>
  <c r="E1523" i="1"/>
  <c r="F1523" i="1"/>
  <c r="G1523" i="1"/>
  <c r="H1523" i="1"/>
  <c r="I1523" i="1"/>
  <c r="A1524" i="1"/>
  <c r="B1524" i="1"/>
  <c r="C1524" i="1"/>
  <c r="D1524" i="1"/>
  <c r="E1524" i="1"/>
  <c r="F1524" i="1"/>
  <c r="G1524" i="1"/>
  <c r="H1524" i="1"/>
  <c r="I1524" i="1"/>
  <c r="A1525" i="1"/>
  <c r="B1525" i="1"/>
  <c r="C1525" i="1"/>
  <c r="D1525" i="1"/>
  <c r="E1525" i="1"/>
  <c r="F1525" i="1"/>
  <c r="G1525" i="1"/>
  <c r="H1525" i="1"/>
  <c r="I1525" i="1"/>
  <c r="A1526" i="1"/>
  <c r="B1526" i="1"/>
  <c r="C1526" i="1"/>
  <c r="D1526" i="1"/>
  <c r="E1526" i="1"/>
  <c r="F1526" i="1"/>
  <c r="G1526" i="1"/>
  <c r="H1526" i="1"/>
  <c r="I1526" i="1"/>
  <c r="A1527" i="1"/>
  <c r="B1527" i="1"/>
  <c r="C1527" i="1"/>
  <c r="D1527" i="1"/>
  <c r="E1527" i="1"/>
  <c r="F1527" i="1"/>
  <c r="G1527" i="1"/>
  <c r="H1527" i="1"/>
  <c r="I1527" i="1"/>
  <c r="A1528" i="1"/>
  <c r="B1528" i="1"/>
  <c r="C1528" i="1"/>
  <c r="D1528" i="1"/>
  <c r="E1528" i="1"/>
  <c r="F1528" i="1"/>
  <c r="G1528" i="1"/>
  <c r="H1528" i="1"/>
  <c r="I1528" i="1"/>
  <c r="A1529" i="1"/>
  <c r="B1529" i="1"/>
  <c r="C1529" i="1"/>
  <c r="D1529" i="1"/>
  <c r="E1529" i="1"/>
  <c r="F1529" i="1"/>
  <c r="G1529" i="1"/>
  <c r="H1529" i="1"/>
  <c r="I1529" i="1"/>
  <c r="A1530" i="1"/>
  <c r="B1530" i="1"/>
  <c r="C1530" i="1"/>
  <c r="D1530" i="1"/>
  <c r="E1530" i="1"/>
  <c r="F1530" i="1"/>
  <c r="G1530" i="1"/>
  <c r="H1530" i="1"/>
  <c r="I1530" i="1"/>
  <c r="A1531" i="1"/>
  <c r="B1531" i="1"/>
  <c r="C1531" i="1"/>
  <c r="D1531" i="1"/>
  <c r="E1531" i="1"/>
  <c r="F1531" i="1"/>
  <c r="G1531" i="1"/>
  <c r="H1531" i="1"/>
  <c r="I1531" i="1"/>
  <c r="A1532" i="1"/>
  <c r="B1532" i="1"/>
  <c r="C1532" i="1"/>
  <c r="D1532" i="1"/>
  <c r="E1532" i="1"/>
  <c r="F1532" i="1"/>
  <c r="G1532" i="1"/>
  <c r="H1532" i="1"/>
  <c r="I1532" i="1"/>
  <c r="A1533" i="1"/>
  <c r="B1533" i="1"/>
  <c r="C1533" i="1"/>
  <c r="D1533" i="1"/>
  <c r="E1533" i="1"/>
  <c r="F1533" i="1"/>
  <c r="G1533" i="1"/>
  <c r="H1533" i="1"/>
  <c r="I1533" i="1"/>
  <c r="A1534" i="1"/>
  <c r="B1534" i="1"/>
  <c r="C1534" i="1"/>
  <c r="D1534" i="1"/>
  <c r="E1534" i="1"/>
  <c r="F1534" i="1"/>
  <c r="G1534" i="1"/>
  <c r="H1534" i="1"/>
  <c r="I1534" i="1"/>
  <c r="A1535" i="1"/>
  <c r="B1535" i="1"/>
  <c r="C1535" i="1"/>
  <c r="D1535" i="1"/>
  <c r="E1535" i="1"/>
  <c r="F1535" i="1"/>
  <c r="G1535" i="1"/>
  <c r="H1535" i="1"/>
  <c r="I1535" i="1"/>
  <c r="A1536" i="1"/>
  <c r="B1536" i="1"/>
  <c r="C1536" i="1"/>
  <c r="D1536" i="1"/>
  <c r="E1536" i="1"/>
  <c r="F1536" i="1"/>
  <c r="G1536" i="1"/>
  <c r="H1536" i="1"/>
  <c r="I1536" i="1"/>
  <c r="A1537" i="1"/>
  <c r="B1537" i="1"/>
  <c r="C1537" i="1"/>
  <c r="D1537" i="1"/>
  <c r="E1537" i="1"/>
  <c r="F1537" i="1"/>
  <c r="G1537" i="1"/>
  <c r="H1537" i="1"/>
  <c r="I1537" i="1"/>
  <c r="A1538" i="1"/>
  <c r="B1538" i="1"/>
  <c r="C1538" i="1"/>
  <c r="D1538" i="1"/>
  <c r="E1538" i="1"/>
  <c r="F1538" i="1"/>
  <c r="G1538" i="1"/>
  <c r="H1538" i="1"/>
  <c r="I1538" i="1"/>
  <c r="A1539" i="1"/>
  <c r="B1539" i="1"/>
  <c r="C1539" i="1"/>
  <c r="D1539" i="1"/>
  <c r="E1539" i="1"/>
  <c r="F1539" i="1"/>
  <c r="G1539" i="1"/>
  <c r="H1539" i="1"/>
  <c r="I1539" i="1"/>
  <c r="A1540" i="1"/>
  <c r="B1540" i="1"/>
  <c r="C1540" i="1"/>
  <c r="D1540" i="1"/>
  <c r="E1540" i="1"/>
  <c r="F1540" i="1"/>
  <c r="G1540" i="1"/>
  <c r="H1540" i="1"/>
  <c r="I1540" i="1"/>
  <c r="A1541" i="1"/>
  <c r="B1541" i="1"/>
  <c r="C1541" i="1"/>
  <c r="D1541" i="1"/>
  <c r="E1541" i="1"/>
  <c r="F1541" i="1"/>
  <c r="G1541" i="1"/>
  <c r="H1541" i="1"/>
  <c r="I1541" i="1"/>
  <c r="A1542" i="1"/>
  <c r="B1542" i="1"/>
  <c r="C1542" i="1"/>
  <c r="D1542" i="1"/>
  <c r="E1542" i="1"/>
  <c r="F1542" i="1"/>
  <c r="G1542" i="1"/>
  <c r="H1542" i="1"/>
  <c r="I1542" i="1"/>
  <c r="A1543" i="1"/>
  <c r="B1543" i="1"/>
  <c r="C1543" i="1"/>
  <c r="D1543" i="1"/>
  <c r="E1543" i="1"/>
  <c r="F1543" i="1"/>
  <c r="G1543" i="1"/>
  <c r="H1543" i="1"/>
  <c r="I1543" i="1"/>
  <c r="A1544" i="1"/>
  <c r="B1544" i="1"/>
  <c r="C1544" i="1"/>
  <c r="D1544" i="1"/>
  <c r="E1544" i="1"/>
  <c r="F1544" i="1"/>
  <c r="G1544" i="1"/>
  <c r="H1544" i="1"/>
  <c r="I1544" i="1"/>
  <c r="A1545" i="1"/>
  <c r="B1545" i="1"/>
  <c r="C1545" i="1"/>
  <c r="D1545" i="1"/>
  <c r="E1545" i="1"/>
  <c r="F1545" i="1"/>
  <c r="G1545" i="1"/>
  <c r="H1545" i="1"/>
  <c r="I1545" i="1"/>
  <c r="A1546" i="1"/>
  <c r="B1546" i="1"/>
  <c r="C1546" i="1"/>
  <c r="D1546" i="1"/>
  <c r="E1546" i="1"/>
  <c r="F1546" i="1"/>
  <c r="G1546" i="1"/>
  <c r="H1546" i="1"/>
  <c r="I1546" i="1"/>
  <c r="A1547" i="1"/>
  <c r="B1547" i="1"/>
  <c r="C1547" i="1"/>
  <c r="D1547" i="1"/>
  <c r="E1547" i="1"/>
  <c r="F1547" i="1"/>
  <c r="G1547" i="1"/>
  <c r="H1547" i="1"/>
  <c r="I1547" i="1"/>
  <c r="A1548" i="1"/>
  <c r="B1548" i="1"/>
  <c r="C1548" i="1"/>
  <c r="D1548" i="1"/>
  <c r="E1548" i="1"/>
  <c r="F1548" i="1"/>
  <c r="G1548" i="1"/>
  <c r="H1548" i="1"/>
  <c r="I1548" i="1"/>
  <c r="A1549" i="1"/>
  <c r="B1549" i="1"/>
  <c r="C1549" i="1"/>
  <c r="D1549" i="1"/>
  <c r="E1549" i="1"/>
  <c r="F1549" i="1"/>
  <c r="G1549" i="1"/>
  <c r="H1549" i="1"/>
  <c r="I1549" i="1"/>
  <c r="A1550" i="1"/>
  <c r="B1550" i="1"/>
  <c r="C1550" i="1"/>
  <c r="D1550" i="1"/>
  <c r="E1550" i="1"/>
  <c r="F1550" i="1"/>
  <c r="G1550" i="1"/>
  <c r="H1550" i="1"/>
  <c r="I1550" i="1"/>
  <c r="A1551" i="1"/>
  <c r="B1551" i="1"/>
  <c r="C1551" i="1"/>
  <c r="D1551" i="1"/>
  <c r="E1551" i="1"/>
  <c r="F1551" i="1"/>
  <c r="G1551" i="1"/>
  <c r="H1551" i="1"/>
  <c r="I1551" i="1"/>
  <c r="A1552" i="1"/>
  <c r="B1552" i="1"/>
  <c r="C1552" i="1"/>
  <c r="D1552" i="1"/>
  <c r="E1552" i="1"/>
  <c r="F1552" i="1"/>
  <c r="G1552" i="1"/>
  <c r="H1552" i="1"/>
  <c r="I1552" i="1"/>
  <c r="A1553" i="1"/>
  <c r="B1553" i="1"/>
  <c r="C1553" i="1"/>
  <c r="D1553" i="1"/>
  <c r="E1553" i="1"/>
  <c r="F1553" i="1"/>
  <c r="G1553" i="1"/>
  <c r="H1553" i="1"/>
  <c r="I1553" i="1"/>
  <c r="A1554" i="1"/>
  <c r="B1554" i="1"/>
  <c r="C1554" i="1"/>
  <c r="D1554" i="1"/>
  <c r="E1554" i="1"/>
  <c r="F1554" i="1"/>
  <c r="G1554" i="1"/>
  <c r="H1554" i="1"/>
  <c r="I1554" i="1"/>
  <c r="A1555" i="1"/>
  <c r="B1555" i="1"/>
  <c r="C1555" i="1"/>
  <c r="D1555" i="1"/>
  <c r="E1555" i="1"/>
  <c r="F1555" i="1"/>
  <c r="G1555" i="1"/>
  <c r="H1555" i="1"/>
  <c r="I1555" i="1"/>
  <c r="A1556" i="1"/>
  <c r="B1556" i="1"/>
  <c r="C1556" i="1"/>
  <c r="D1556" i="1"/>
  <c r="E1556" i="1"/>
  <c r="F1556" i="1"/>
  <c r="G1556" i="1"/>
  <c r="H1556" i="1"/>
  <c r="I1556" i="1"/>
  <c r="A1557" i="1"/>
  <c r="B1557" i="1"/>
  <c r="C1557" i="1"/>
  <c r="D1557" i="1"/>
  <c r="E1557" i="1"/>
  <c r="F1557" i="1"/>
  <c r="G1557" i="1"/>
  <c r="H1557" i="1"/>
  <c r="I1557" i="1"/>
  <c r="A1558" i="1"/>
  <c r="B1558" i="1"/>
  <c r="C1558" i="1"/>
  <c r="D1558" i="1"/>
  <c r="E1558" i="1"/>
  <c r="F1558" i="1"/>
  <c r="G1558" i="1"/>
  <c r="H1558" i="1"/>
  <c r="I1558" i="1"/>
  <c r="A1559" i="1"/>
  <c r="B1559" i="1"/>
  <c r="C1559" i="1"/>
  <c r="D1559" i="1"/>
  <c r="E1559" i="1"/>
  <c r="F1559" i="1"/>
  <c r="G1559" i="1"/>
  <c r="H1559" i="1"/>
  <c r="I1559" i="1"/>
  <c r="A1560" i="1"/>
  <c r="B1560" i="1"/>
  <c r="C1560" i="1"/>
  <c r="D1560" i="1"/>
  <c r="E1560" i="1"/>
  <c r="F1560" i="1"/>
  <c r="G1560" i="1"/>
  <c r="H1560" i="1"/>
  <c r="I1560" i="1"/>
  <c r="A1561" i="1"/>
  <c r="B1561" i="1"/>
  <c r="C1561" i="1"/>
  <c r="D1561" i="1"/>
  <c r="E1561" i="1"/>
  <c r="F1561" i="1"/>
  <c r="G1561" i="1"/>
  <c r="H1561" i="1"/>
  <c r="I1561" i="1"/>
  <c r="A1562" i="1"/>
  <c r="B1562" i="1"/>
  <c r="C1562" i="1"/>
  <c r="D1562" i="1"/>
  <c r="E1562" i="1"/>
  <c r="F1562" i="1"/>
  <c r="G1562" i="1"/>
  <c r="H1562" i="1"/>
  <c r="I1562" i="1"/>
  <c r="A1563" i="1"/>
  <c r="B1563" i="1"/>
  <c r="C1563" i="1"/>
  <c r="D1563" i="1"/>
  <c r="E1563" i="1"/>
  <c r="F1563" i="1"/>
  <c r="G1563" i="1"/>
  <c r="H1563" i="1"/>
  <c r="I1563" i="1"/>
  <c r="A1564" i="1"/>
  <c r="B1564" i="1"/>
  <c r="C1564" i="1"/>
  <c r="D1564" i="1"/>
  <c r="E1564" i="1"/>
  <c r="F1564" i="1"/>
  <c r="G1564" i="1"/>
  <c r="H1564" i="1"/>
  <c r="I1564" i="1"/>
  <c r="A1565" i="1"/>
  <c r="B1565" i="1"/>
  <c r="C1565" i="1"/>
  <c r="D1565" i="1"/>
  <c r="E1565" i="1"/>
  <c r="F1565" i="1"/>
  <c r="G1565" i="1"/>
  <c r="H1565" i="1"/>
  <c r="I1565" i="1"/>
  <c r="A1566" i="1"/>
  <c r="B1566" i="1"/>
  <c r="C1566" i="1"/>
  <c r="D1566" i="1"/>
  <c r="E1566" i="1"/>
  <c r="F1566" i="1"/>
  <c r="G1566" i="1"/>
  <c r="H1566" i="1"/>
  <c r="I1566" i="1"/>
  <c r="A1567" i="1"/>
  <c r="B1567" i="1"/>
  <c r="C1567" i="1"/>
  <c r="D1567" i="1"/>
  <c r="E1567" i="1"/>
  <c r="F1567" i="1"/>
  <c r="G1567" i="1"/>
  <c r="H1567" i="1"/>
  <c r="I1567" i="1"/>
  <c r="A1568" i="1"/>
  <c r="B1568" i="1"/>
  <c r="C1568" i="1"/>
  <c r="D1568" i="1"/>
  <c r="E1568" i="1"/>
  <c r="F1568" i="1"/>
  <c r="G1568" i="1"/>
  <c r="H1568" i="1"/>
  <c r="I1568" i="1"/>
  <c r="A1569" i="1"/>
  <c r="B1569" i="1"/>
  <c r="C1569" i="1"/>
  <c r="D1569" i="1"/>
  <c r="E1569" i="1"/>
  <c r="F1569" i="1"/>
  <c r="G1569" i="1"/>
  <c r="H1569" i="1"/>
  <c r="I1569" i="1"/>
  <c r="A1570" i="1"/>
  <c r="B1570" i="1"/>
  <c r="C1570" i="1"/>
  <c r="D1570" i="1"/>
  <c r="E1570" i="1"/>
  <c r="F1570" i="1"/>
  <c r="G1570" i="1"/>
  <c r="H1570" i="1"/>
  <c r="I1570" i="1"/>
  <c r="A1571" i="1"/>
  <c r="B1571" i="1"/>
  <c r="C1571" i="1"/>
  <c r="D1571" i="1"/>
  <c r="E1571" i="1"/>
  <c r="F1571" i="1"/>
  <c r="G1571" i="1"/>
  <c r="H1571" i="1"/>
  <c r="I1571" i="1"/>
  <c r="A1572" i="1"/>
  <c r="B1572" i="1"/>
  <c r="C1572" i="1"/>
  <c r="D1572" i="1"/>
  <c r="E1572" i="1"/>
  <c r="F1572" i="1"/>
  <c r="G1572" i="1"/>
  <c r="H1572" i="1"/>
  <c r="I1572" i="1"/>
  <c r="A1573" i="1"/>
  <c r="B1573" i="1"/>
  <c r="C1573" i="1"/>
  <c r="D1573" i="1"/>
  <c r="E1573" i="1"/>
  <c r="F1573" i="1"/>
  <c r="G1573" i="1"/>
  <c r="H1573" i="1"/>
  <c r="I1573" i="1"/>
  <c r="A1574" i="1"/>
  <c r="B1574" i="1"/>
  <c r="C1574" i="1"/>
  <c r="D1574" i="1"/>
  <c r="E1574" i="1"/>
  <c r="F1574" i="1"/>
  <c r="G1574" i="1"/>
  <c r="H1574" i="1"/>
  <c r="I1574" i="1"/>
  <c r="A1575" i="1"/>
  <c r="B1575" i="1"/>
  <c r="C1575" i="1"/>
  <c r="D1575" i="1"/>
  <c r="E1575" i="1"/>
  <c r="F1575" i="1"/>
  <c r="G1575" i="1"/>
  <c r="H1575" i="1"/>
  <c r="I1575" i="1"/>
  <c r="A1576" i="1"/>
  <c r="B1576" i="1"/>
  <c r="C1576" i="1"/>
  <c r="D1576" i="1"/>
  <c r="E1576" i="1"/>
  <c r="F1576" i="1"/>
  <c r="G1576" i="1"/>
  <c r="H1576" i="1"/>
  <c r="I1576" i="1"/>
  <c r="A1577" i="1"/>
  <c r="B1577" i="1"/>
  <c r="C1577" i="1"/>
  <c r="D1577" i="1"/>
  <c r="E1577" i="1"/>
  <c r="F1577" i="1"/>
  <c r="G1577" i="1"/>
  <c r="H1577" i="1"/>
  <c r="I1577" i="1"/>
  <c r="A1578" i="1"/>
  <c r="B1578" i="1"/>
  <c r="C1578" i="1"/>
  <c r="D1578" i="1"/>
  <c r="E1578" i="1"/>
  <c r="F1578" i="1"/>
  <c r="G1578" i="1"/>
  <c r="H1578" i="1"/>
  <c r="I1578" i="1"/>
  <c r="A1579" i="1"/>
  <c r="B1579" i="1"/>
  <c r="C1579" i="1"/>
  <c r="D1579" i="1"/>
  <c r="E1579" i="1"/>
  <c r="F1579" i="1"/>
  <c r="G1579" i="1"/>
  <c r="H1579" i="1"/>
  <c r="I1579" i="1"/>
  <c r="A1580" i="1"/>
  <c r="B1580" i="1"/>
  <c r="C1580" i="1"/>
  <c r="D1580" i="1"/>
  <c r="E1580" i="1"/>
  <c r="F1580" i="1"/>
  <c r="G1580" i="1"/>
  <c r="H1580" i="1"/>
  <c r="I1580" i="1"/>
  <c r="A1581" i="1"/>
  <c r="B1581" i="1"/>
  <c r="C1581" i="1"/>
  <c r="D1581" i="1"/>
  <c r="E1581" i="1"/>
  <c r="F1581" i="1"/>
  <c r="G1581" i="1"/>
  <c r="H1581" i="1"/>
  <c r="I1581" i="1"/>
  <c r="A1582" i="1"/>
  <c r="B1582" i="1"/>
  <c r="C1582" i="1"/>
  <c r="D1582" i="1"/>
  <c r="E1582" i="1"/>
  <c r="F1582" i="1"/>
  <c r="G1582" i="1"/>
  <c r="H1582" i="1"/>
  <c r="I1582" i="1"/>
  <c r="A1583" i="1"/>
  <c r="B1583" i="1"/>
  <c r="C1583" i="1"/>
  <c r="D1583" i="1"/>
  <c r="E1583" i="1"/>
  <c r="F1583" i="1"/>
  <c r="G1583" i="1"/>
  <c r="H1583" i="1"/>
  <c r="I1583" i="1"/>
  <c r="A1584" i="1"/>
  <c r="B1584" i="1"/>
  <c r="C1584" i="1"/>
  <c r="D1584" i="1"/>
  <c r="E1584" i="1"/>
  <c r="F1584" i="1"/>
  <c r="G1584" i="1"/>
  <c r="H1584" i="1"/>
  <c r="I1584" i="1"/>
  <c r="A1585" i="1"/>
  <c r="B1585" i="1"/>
  <c r="C1585" i="1"/>
  <c r="D1585" i="1"/>
  <c r="E1585" i="1"/>
  <c r="F1585" i="1"/>
  <c r="G1585" i="1"/>
  <c r="H1585" i="1"/>
  <c r="I1585" i="1"/>
  <c r="A1586" i="1"/>
  <c r="B1586" i="1"/>
  <c r="C1586" i="1"/>
  <c r="D1586" i="1"/>
  <c r="E1586" i="1"/>
  <c r="F1586" i="1"/>
  <c r="G1586" i="1"/>
  <c r="H1586" i="1"/>
  <c r="I1586" i="1"/>
  <c r="A1587" i="1"/>
  <c r="B1587" i="1"/>
  <c r="C1587" i="1"/>
  <c r="D1587" i="1"/>
  <c r="E1587" i="1"/>
  <c r="F1587" i="1"/>
  <c r="G1587" i="1"/>
  <c r="H1587" i="1"/>
  <c r="I1587" i="1"/>
  <c r="A1588" i="1"/>
  <c r="B1588" i="1"/>
  <c r="C1588" i="1"/>
  <c r="D1588" i="1"/>
  <c r="E1588" i="1"/>
  <c r="F1588" i="1"/>
  <c r="G1588" i="1"/>
  <c r="H1588" i="1"/>
  <c r="I1588" i="1"/>
  <c r="A1589" i="1"/>
  <c r="B1589" i="1"/>
  <c r="C1589" i="1"/>
  <c r="D1589" i="1"/>
  <c r="E1589" i="1"/>
  <c r="F1589" i="1"/>
  <c r="G1589" i="1"/>
  <c r="H1589" i="1"/>
  <c r="I1589" i="1"/>
  <c r="A1590" i="1"/>
  <c r="B1590" i="1"/>
  <c r="C1590" i="1"/>
  <c r="D1590" i="1"/>
  <c r="E1590" i="1"/>
  <c r="F1590" i="1"/>
  <c r="G1590" i="1"/>
  <c r="H1590" i="1"/>
  <c r="I1590" i="1"/>
  <c r="A1591" i="1"/>
  <c r="B1591" i="1"/>
  <c r="C1591" i="1"/>
  <c r="D1591" i="1"/>
  <c r="E1591" i="1"/>
  <c r="F1591" i="1"/>
  <c r="G1591" i="1"/>
  <c r="H1591" i="1"/>
  <c r="I1591" i="1"/>
  <c r="A1592" i="1"/>
  <c r="B1592" i="1"/>
  <c r="C1592" i="1"/>
  <c r="D1592" i="1"/>
  <c r="E1592" i="1"/>
  <c r="F1592" i="1"/>
  <c r="G1592" i="1"/>
  <c r="H1592" i="1"/>
  <c r="I1592" i="1"/>
  <c r="A1593" i="1"/>
  <c r="B1593" i="1"/>
  <c r="C1593" i="1"/>
  <c r="D1593" i="1"/>
  <c r="E1593" i="1"/>
  <c r="F1593" i="1"/>
  <c r="G1593" i="1"/>
  <c r="H1593" i="1"/>
  <c r="I1593" i="1"/>
  <c r="A1594" i="1"/>
  <c r="B1594" i="1"/>
  <c r="C1594" i="1"/>
  <c r="D1594" i="1"/>
  <c r="E1594" i="1"/>
  <c r="F1594" i="1"/>
  <c r="G1594" i="1"/>
  <c r="H1594" i="1"/>
  <c r="I1594" i="1"/>
  <c r="A1595" i="1"/>
  <c r="B1595" i="1"/>
  <c r="C1595" i="1"/>
  <c r="D1595" i="1"/>
  <c r="E1595" i="1"/>
  <c r="F1595" i="1"/>
  <c r="G1595" i="1"/>
  <c r="H1595" i="1"/>
  <c r="I1595" i="1"/>
  <c r="A1596" i="1"/>
  <c r="B1596" i="1"/>
  <c r="C1596" i="1"/>
  <c r="D1596" i="1"/>
  <c r="E1596" i="1"/>
  <c r="F1596" i="1"/>
  <c r="G1596" i="1"/>
  <c r="H1596" i="1"/>
  <c r="I1596" i="1"/>
  <c r="A1597" i="1"/>
  <c r="B1597" i="1"/>
  <c r="C1597" i="1"/>
  <c r="D1597" i="1"/>
  <c r="E1597" i="1"/>
  <c r="F1597" i="1"/>
  <c r="G1597" i="1"/>
  <c r="H1597" i="1"/>
  <c r="I1597" i="1"/>
  <c r="A1598" i="1"/>
  <c r="B1598" i="1"/>
  <c r="C1598" i="1"/>
  <c r="D1598" i="1"/>
  <c r="E1598" i="1"/>
  <c r="F1598" i="1"/>
  <c r="G1598" i="1"/>
  <c r="H1598" i="1"/>
  <c r="I1598" i="1"/>
  <c r="A1599" i="1"/>
  <c r="B1599" i="1"/>
  <c r="C1599" i="1"/>
  <c r="D1599" i="1"/>
  <c r="E1599" i="1"/>
  <c r="F1599" i="1"/>
  <c r="G1599" i="1"/>
  <c r="H1599" i="1"/>
  <c r="I1599" i="1"/>
  <c r="A1600" i="1"/>
  <c r="B1600" i="1"/>
  <c r="C1600" i="1"/>
  <c r="D1600" i="1"/>
  <c r="E1600" i="1"/>
  <c r="F1600" i="1"/>
  <c r="G1600" i="1"/>
  <c r="H1600" i="1"/>
  <c r="I1600" i="1"/>
  <c r="A1601" i="1"/>
  <c r="B1601" i="1"/>
  <c r="C1601" i="1"/>
  <c r="D1601" i="1"/>
  <c r="E1601" i="1"/>
  <c r="F1601" i="1"/>
  <c r="G1601" i="1"/>
  <c r="H1601" i="1"/>
  <c r="I1601" i="1"/>
  <c r="A1602" i="1"/>
  <c r="B1602" i="1"/>
  <c r="C1602" i="1"/>
  <c r="D1602" i="1"/>
  <c r="E1602" i="1"/>
  <c r="F1602" i="1"/>
  <c r="G1602" i="1"/>
  <c r="H1602" i="1"/>
  <c r="I1602" i="1"/>
  <c r="A1603" i="1"/>
  <c r="B1603" i="1"/>
  <c r="C1603" i="1"/>
  <c r="D1603" i="1"/>
  <c r="E1603" i="1"/>
  <c r="F1603" i="1"/>
  <c r="G1603" i="1"/>
  <c r="H1603" i="1"/>
  <c r="I1603" i="1"/>
  <c r="A1604" i="1"/>
  <c r="B1604" i="1"/>
  <c r="C1604" i="1"/>
  <c r="D1604" i="1"/>
  <c r="E1604" i="1"/>
  <c r="F1604" i="1"/>
  <c r="G1604" i="1"/>
  <c r="H1604" i="1"/>
  <c r="I1604" i="1"/>
  <c r="A1605" i="1"/>
  <c r="B1605" i="1"/>
  <c r="C1605" i="1"/>
  <c r="D1605" i="1"/>
  <c r="E1605" i="1"/>
  <c r="F1605" i="1"/>
  <c r="G1605" i="1"/>
  <c r="H1605" i="1"/>
  <c r="I1605" i="1"/>
  <c r="A1606" i="1"/>
  <c r="B1606" i="1"/>
  <c r="C1606" i="1"/>
  <c r="D1606" i="1"/>
  <c r="E1606" i="1"/>
  <c r="F1606" i="1"/>
  <c r="G1606" i="1"/>
  <c r="H1606" i="1"/>
  <c r="I1606" i="1"/>
  <c r="A1607" i="1"/>
  <c r="B1607" i="1"/>
  <c r="C1607" i="1"/>
  <c r="D1607" i="1"/>
  <c r="E1607" i="1"/>
  <c r="F1607" i="1"/>
  <c r="G1607" i="1"/>
  <c r="H1607" i="1"/>
  <c r="I1607" i="1"/>
  <c r="A1608" i="1"/>
  <c r="B1608" i="1"/>
  <c r="C1608" i="1"/>
  <c r="D1608" i="1"/>
  <c r="E1608" i="1"/>
  <c r="F1608" i="1"/>
  <c r="G1608" i="1"/>
  <c r="H1608" i="1"/>
  <c r="I1608" i="1"/>
  <c r="A1609" i="1"/>
  <c r="B1609" i="1"/>
  <c r="C1609" i="1"/>
  <c r="D1609" i="1"/>
  <c r="E1609" i="1"/>
  <c r="F1609" i="1"/>
  <c r="G1609" i="1"/>
  <c r="H1609" i="1"/>
  <c r="I1609" i="1"/>
  <c r="A1610" i="1"/>
  <c r="B1610" i="1"/>
  <c r="C1610" i="1"/>
  <c r="D1610" i="1"/>
  <c r="E1610" i="1"/>
  <c r="F1610" i="1"/>
  <c r="G1610" i="1"/>
  <c r="H1610" i="1"/>
  <c r="I1610" i="1"/>
  <c r="A1611" i="1"/>
  <c r="B1611" i="1"/>
  <c r="C1611" i="1"/>
  <c r="D1611" i="1"/>
  <c r="E1611" i="1"/>
  <c r="F1611" i="1"/>
  <c r="G1611" i="1"/>
  <c r="H1611" i="1"/>
  <c r="I1611" i="1"/>
  <c r="A1612" i="1"/>
  <c r="B1612" i="1"/>
  <c r="C1612" i="1"/>
  <c r="D1612" i="1"/>
  <c r="E1612" i="1"/>
  <c r="F1612" i="1"/>
  <c r="G1612" i="1"/>
  <c r="H1612" i="1"/>
  <c r="I1612" i="1"/>
  <c r="A1613" i="1"/>
  <c r="B1613" i="1"/>
  <c r="C1613" i="1"/>
  <c r="D1613" i="1"/>
  <c r="E1613" i="1"/>
  <c r="F1613" i="1"/>
  <c r="G1613" i="1"/>
  <c r="H1613" i="1"/>
  <c r="I1613" i="1"/>
  <c r="A1614" i="1"/>
  <c r="B1614" i="1"/>
  <c r="C1614" i="1"/>
  <c r="D1614" i="1"/>
  <c r="E1614" i="1"/>
  <c r="F1614" i="1"/>
  <c r="G1614" i="1"/>
  <c r="H1614" i="1"/>
  <c r="I1614" i="1"/>
  <c r="A1615" i="1"/>
  <c r="B1615" i="1"/>
  <c r="C1615" i="1"/>
  <c r="D1615" i="1"/>
  <c r="E1615" i="1"/>
  <c r="F1615" i="1"/>
  <c r="G1615" i="1"/>
  <c r="H1615" i="1"/>
  <c r="I1615" i="1"/>
  <c r="A1616" i="1"/>
  <c r="B1616" i="1"/>
  <c r="C1616" i="1"/>
  <c r="D1616" i="1"/>
  <c r="E1616" i="1"/>
  <c r="F1616" i="1"/>
  <c r="G1616" i="1"/>
  <c r="H1616" i="1"/>
  <c r="I1616" i="1"/>
  <c r="A1617" i="1"/>
  <c r="B1617" i="1"/>
  <c r="C1617" i="1"/>
  <c r="D1617" i="1"/>
  <c r="E1617" i="1"/>
  <c r="F1617" i="1"/>
  <c r="G1617" i="1"/>
  <c r="H1617" i="1"/>
  <c r="I1617" i="1"/>
  <c r="A1618" i="1"/>
  <c r="B1618" i="1"/>
  <c r="C1618" i="1"/>
  <c r="D1618" i="1"/>
  <c r="E1618" i="1"/>
  <c r="F1618" i="1"/>
  <c r="G1618" i="1"/>
  <c r="H1618" i="1"/>
  <c r="I1618" i="1"/>
  <c r="A1619" i="1"/>
  <c r="B1619" i="1"/>
  <c r="C1619" i="1"/>
  <c r="D1619" i="1"/>
  <c r="E1619" i="1"/>
  <c r="F1619" i="1"/>
  <c r="G1619" i="1"/>
  <c r="H1619" i="1"/>
  <c r="I1619" i="1"/>
  <c r="A1620" i="1"/>
  <c r="B1620" i="1"/>
  <c r="C1620" i="1"/>
  <c r="D1620" i="1"/>
  <c r="E1620" i="1"/>
  <c r="F1620" i="1"/>
  <c r="G1620" i="1"/>
  <c r="H1620" i="1"/>
  <c r="I1620" i="1"/>
  <c r="A1621" i="1"/>
  <c r="B1621" i="1"/>
  <c r="C1621" i="1"/>
  <c r="D1621" i="1"/>
  <c r="E1621" i="1"/>
  <c r="F1621" i="1"/>
  <c r="G1621" i="1"/>
  <c r="H1621" i="1"/>
  <c r="I1621" i="1"/>
  <c r="A1622" i="1"/>
  <c r="B1622" i="1"/>
  <c r="C1622" i="1"/>
  <c r="D1622" i="1"/>
  <c r="E1622" i="1"/>
  <c r="F1622" i="1"/>
  <c r="G1622" i="1"/>
  <c r="H1622" i="1"/>
  <c r="I1622" i="1"/>
  <c r="A1623" i="1"/>
  <c r="B1623" i="1"/>
  <c r="C1623" i="1"/>
  <c r="D1623" i="1"/>
  <c r="E1623" i="1"/>
  <c r="F1623" i="1"/>
  <c r="G1623" i="1"/>
  <c r="H1623" i="1"/>
  <c r="I1623" i="1"/>
  <c r="A1624" i="1"/>
  <c r="B1624" i="1"/>
  <c r="C1624" i="1"/>
  <c r="D1624" i="1"/>
  <c r="E1624" i="1"/>
  <c r="F1624" i="1"/>
  <c r="G1624" i="1"/>
  <c r="H1624" i="1"/>
  <c r="I1624" i="1"/>
  <c r="A1625" i="1"/>
  <c r="B1625" i="1"/>
  <c r="C1625" i="1"/>
  <c r="D1625" i="1"/>
  <c r="E1625" i="1"/>
  <c r="F1625" i="1"/>
  <c r="G1625" i="1"/>
  <c r="H1625" i="1"/>
  <c r="I1625" i="1"/>
  <c r="A1626" i="1"/>
  <c r="B1626" i="1"/>
  <c r="C1626" i="1"/>
  <c r="D1626" i="1"/>
  <c r="E1626" i="1"/>
  <c r="F1626" i="1"/>
  <c r="G1626" i="1"/>
  <c r="H1626" i="1"/>
  <c r="I1626" i="1"/>
  <c r="A1627" i="1"/>
  <c r="B1627" i="1"/>
  <c r="C1627" i="1"/>
  <c r="D1627" i="1"/>
  <c r="E1627" i="1"/>
  <c r="F1627" i="1"/>
  <c r="G1627" i="1"/>
  <c r="H1627" i="1"/>
  <c r="I1627" i="1"/>
  <c r="A1628" i="1"/>
  <c r="B1628" i="1"/>
  <c r="C1628" i="1"/>
  <c r="D1628" i="1"/>
  <c r="E1628" i="1"/>
  <c r="F1628" i="1"/>
  <c r="G1628" i="1"/>
  <c r="H1628" i="1"/>
  <c r="I1628" i="1"/>
  <c r="A1629" i="1"/>
  <c r="B1629" i="1"/>
  <c r="C1629" i="1"/>
  <c r="D1629" i="1"/>
  <c r="E1629" i="1"/>
  <c r="F1629" i="1"/>
  <c r="G1629" i="1"/>
  <c r="H1629" i="1"/>
  <c r="I1629" i="1"/>
  <c r="A1630" i="1"/>
  <c r="B1630" i="1"/>
  <c r="C1630" i="1"/>
  <c r="D1630" i="1"/>
  <c r="E1630" i="1"/>
  <c r="F1630" i="1"/>
  <c r="G1630" i="1"/>
  <c r="H1630" i="1"/>
  <c r="I1630" i="1"/>
  <c r="A1631" i="1"/>
  <c r="B1631" i="1"/>
  <c r="C1631" i="1"/>
  <c r="D1631" i="1"/>
  <c r="E1631" i="1"/>
  <c r="F1631" i="1"/>
  <c r="G1631" i="1"/>
  <c r="H1631" i="1"/>
  <c r="I1631" i="1"/>
  <c r="A1632" i="1"/>
  <c r="B1632" i="1"/>
  <c r="C1632" i="1"/>
  <c r="D1632" i="1"/>
  <c r="E1632" i="1"/>
  <c r="F1632" i="1"/>
  <c r="G1632" i="1"/>
  <c r="H1632" i="1"/>
  <c r="I1632" i="1"/>
  <c r="A1633" i="1"/>
  <c r="B1633" i="1"/>
  <c r="C1633" i="1"/>
  <c r="D1633" i="1"/>
  <c r="E1633" i="1"/>
  <c r="F1633" i="1"/>
  <c r="G1633" i="1"/>
  <c r="H1633" i="1"/>
  <c r="I1633" i="1"/>
  <c r="A1634" i="1"/>
  <c r="B1634" i="1"/>
  <c r="C1634" i="1"/>
  <c r="D1634" i="1"/>
  <c r="E1634" i="1"/>
  <c r="F1634" i="1"/>
  <c r="G1634" i="1"/>
  <c r="H1634" i="1"/>
  <c r="I1634" i="1"/>
  <c r="A1635" i="1"/>
  <c r="B1635" i="1"/>
  <c r="C1635" i="1"/>
  <c r="D1635" i="1"/>
  <c r="E1635" i="1"/>
  <c r="F1635" i="1"/>
  <c r="G1635" i="1"/>
  <c r="H1635" i="1"/>
  <c r="I1635" i="1"/>
  <c r="A1636" i="1"/>
  <c r="B1636" i="1"/>
  <c r="C1636" i="1"/>
  <c r="D1636" i="1"/>
  <c r="E1636" i="1"/>
  <c r="F1636" i="1"/>
  <c r="G1636" i="1"/>
  <c r="H1636" i="1"/>
  <c r="I1636" i="1"/>
  <c r="A1637" i="1"/>
  <c r="B1637" i="1"/>
  <c r="C1637" i="1"/>
  <c r="D1637" i="1"/>
  <c r="E1637" i="1"/>
  <c r="F1637" i="1"/>
  <c r="G1637" i="1"/>
  <c r="H1637" i="1"/>
  <c r="I1637" i="1"/>
  <c r="A1638" i="1"/>
  <c r="B1638" i="1"/>
  <c r="C1638" i="1"/>
  <c r="D1638" i="1"/>
  <c r="E1638" i="1"/>
  <c r="F1638" i="1"/>
  <c r="G1638" i="1"/>
  <c r="H1638" i="1"/>
  <c r="I1638" i="1"/>
  <c r="A1639" i="1"/>
  <c r="B1639" i="1"/>
  <c r="C1639" i="1"/>
  <c r="D1639" i="1"/>
  <c r="E1639" i="1"/>
  <c r="F1639" i="1"/>
  <c r="G1639" i="1"/>
  <c r="H1639" i="1"/>
  <c r="I1639" i="1"/>
  <c r="A1640" i="1"/>
  <c r="B1640" i="1"/>
  <c r="C1640" i="1"/>
  <c r="D1640" i="1"/>
  <c r="E1640" i="1"/>
  <c r="F1640" i="1"/>
  <c r="G1640" i="1"/>
  <c r="H1640" i="1"/>
  <c r="I1640" i="1"/>
  <c r="A1641" i="1"/>
  <c r="B1641" i="1"/>
  <c r="C1641" i="1"/>
  <c r="D1641" i="1"/>
  <c r="E1641" i="1"/>
  <c r="F1641" i="1"/>
  <c r="G1641" i="1"/>
  <c r="H1641" i="1"/>
  <c r="I1641" i="1"/>
  <c r="A1642" i="1"/>
  <c r="B1642" i="1"/>
  <c r="C1642" i="1"/>
  <c r="D1642" i="1"/>
  <c r="E1642" i="1"/>
  <c r="F1642" i="1"/>
  <c r="G1642" i="1"/>
  <c r="H1642" i="1"/>
  <c r="I1642" i="1"/>
  <c r="A1643" i="1"/>
  <c r="B1643" i="1"/>
  <c r="C1643" i="1"/>
  <c r="D1643" i="1"/>
  <c r="E1643" i="1"/>
  <c r="F1643" i="1"/>
  <c r="G1643" i="1"/>
  <c r="H1643" i="1"/>
  <c r="I1643" i="1"/>
  <c r="A1644" i="1"/>
  <c r="B1644" i="1"/>
  <c r="C1644" i="1"/>
  <c r="D1644" i="1"/>
  <c r="E1644" i="1"/>
  <c r="F1644" i="1"/>
  <c r="G1644" i="1"/>
  <c r="H1644" i="1"/>
  <c r="I1644" i="1"/>
  <c r="A1645" i="1"/>
  <c r="B1645" i="1"/>
  <c r="C1645" i="1"/>
  <c r="D1645" i="1"/>
  <c r="E1645" i="1"/>
  <c r="F1645" i="1"/>
  <c r="G1645" i="1"/>
  <c r="H1645" i="1"/>
  <c r="I1645" i="1"/>
  <c r="A1646" i="1"/>
  <c r="B1646" i="1"/>
  <c r="C1646" i="1"/>
  <c r="D1646" i="1"/>
  <c r="E1646" i="1"/>
  <c r="F1646" i="1"/>
  <c r="G1646" i="1"/>
  <c r="H1646" i="1"/>
  <c r="I1646" i="1"/>
  <c r="A1647" i="1"/>
  <c r="B1647" i="1"/>
  <c r="C1647" i="1"/>
  <c r="D1647" i="1"/>
  <c r="E1647" i="1"/>
  <c r="F1647" i="1"/>
  <c r="G1647" i="1"/>
  <c r="H1647" i="1"/>
  <c r="I1647" i="1"/>
  <c r="A1648" i="1"/>
  <c r="B1648" i="1"/>
  <c r="C1648" i="1"/>
  <c r="D1648" i="1"/>
  <c r="E1648" i="1"/>
  <c r="F1648" i="1"/>
  <c r="G1648" i="1"/>
  <c r="H1648" i="1"/>
  <c r="I1648" i="1"/>
  <c r="A1649" i="1"/>
  <c r="B1649" i="1"/>
  <c r="C1649" i="1"/>
  <c r="D1649" i="1"/>
  <c r="E1649" i="1"/>
  <c r="F1649" i="1"/>
  <c r="G1649" i="1"/>
  <c r="H1649" i="1"/>
  <c r="I1649" i="1"/>
  <c r="A1650" i="1"/>
  <c r="B1650" i="1"/>
  <c r="C1650" i="1"/>
  <c r="D1650" i="1"/>
  <c r="E1650" i="1"/>
  <c r="F1650" i="1"/>
  <c r="G1650" i="1"/>
  <c r="H1650" i="1"/>
  <c r="I1650" i="1"/>
  <c r="A1651" i="1"/>
  <c r="B1651" i="1"/>
  <c r="C1651" i="1"/>
  <c r="D1651" i="1"/>
  <c r="E1651" i="1"/>
  <c r="F1651" i="1"/>
  <c r="G1651" i="1"/>
  <c r="H1651" i="1"/>
  <c r="I1651" i="1"/>
  <c r="A1652" i="1"/>
  <c r="B1652" i="1"/>
  <c r="C1652" i="1"/>
  <c r="D1652" i="1"/>
  <c r="E1652" i="1"/>
  <c r="F1652" i="1"/>
  <c r="G1652" i="1"/>
  <c r="H1652" i="1"/>
  <c r="I1652" i="1"/>
  <c r="A1653" i="1"/>
  <c r="B1653" i="1"/>
  <c r="C1653" i="1"/>
  <c r="D1653" i="1"/>
  <c r="E1653" i="1"/>
  <c r="F1653" i="1"/>
  <c r="G1653" i="1"/>
  <c r="H1653" i="1"/>
  <c r="I1653" i="1"/>
  <c r="A1654" i="1"/>
  <c r="B1654" i="1"/>
  <c r="C1654" i="1"/>
  <c r="D1654" i="1"/>
  <c r="E1654" i="1"/>
  <c r="F1654" i="1"/>
  <c r="G1654" i="1"/>
  <c r="H1654" i="1"/>
  <c r="I1654" i="1"/>
  <c r="A1655" i="1"/>
  <c r="B1655" i="1"/>
  <c r="C1655" i="1"/>
  <c r="D1655" i="1"/>
  <c r="E1655" i="1"/>
  <c r="F1655" i="1"/>
  <c r="G1655" i="1"/>
  <c r="H1655" i="1"/>
  <c r="I1655" i="1"/>
  <c r="A1656" i="1"/>
  <c r="B1656" i="1"/>
  <c r="C1656" i="1"/>
  <c r="D1656" i="1"/>
  <c r="E1656" i="1"/>
  <c r="F1656" i="1"/>
  <c r="G1656" i="1"/>
  <c r="H1656" i="1"/>
  <c r="I1656" i="1"/>
  <c r="A1657" i="1"/>
  <c r="B1657" i="1"/>
  <c r="C1657" i="1"/>
  <c r="D1657" i="1"/>
  <c r="E1657" i="1"/>
  <c r="F1657" i="1"/>
  <c r="G1657" i="1"/>
  <c r="H1657" i="1"/>
  <c r="I1657" i="1"/>
  <c r="A1658" i="1"/>
  <c r="B1658" i="1"/>
  <c r="C1658" i="1"/>
  <c r="D1658" i="1"/>
  <c r="E1658" i="1"/>
  <c r="F1658" i="1"/>
  <c r="G1658" i="1"/>
  <c r="H1658" i="1"/>
  <c r="I1658" i="1"/>
  <c r="A1659" i="1"/>
  <c r="B1659" i="1"/>
  <c r="C1659" i="1"/>
  <c r="D1659" i="1"/>
  <c r="E1659" i="1"/>
  <c r="F1659" i="1"/>
  <c r="G1659" i="1"/>
  <c r="H1659" i="1"/>
  <c r="I1659" i="1"/>
  <c r="A1660" i="1"/>
  <c r="B1660" i="1"/>
  <c r="C1660" i="1"/>
  <c r="D1660" i="1"/>
  <c r="E1660" i="1"/>
  <c r="F1660" i="1"/>
  <c r="G1660" i="1"/>
  <c r="H1660" i="1"/>
  <c r="I1660" i="1"/>
  <c r="A1661" i="1"/>
  <c r="B1661" i="1"/>
  <c r="C1661" i="1"/>
  <c r="D1661" i="1"/>
  <c r="E1661" i="1"/>
  <c r="F1661" i="1"/>
  <c r="G1661" i="1"/>
  <c r="H1661" i="1"/>
  <c r="I1661" i="1"/>
  <c r="A1662" i="1"/>
  <c r="B1662" i="1"/>
  <c r="C1662" i="1"/>
  <c r="D1662" i="1"/>
  <c r="E1662" i="1"/>
  <c r="F1662" i="1"/>
  <c r="G1662" i="1"/>
  <c r="H1662" i="1"/>
  <c r="I1662" i="1"/>
  <c r="A1663" i="1"/>
  <c r="B1663" i="1"/>
  <c r="C1663" i="1"/>
  <c r="D1663" i="1"/>
  <c r="E1663" i="1"/>
  <c r="F1663" i="1"/>
  <c r="G1663" i="1"/>
  <c r="H1663" i="1"/>
  <c r="I1663" i="1"/>
  <c r="A1664" i="1"/>
  <c r="B1664" i="1"/>
  <c r="C1664" i="1"/>
  <c r="D1664" i="1"/>
  <c r="E1664" i="1"/>
  <c r="F1664" i="1"/>
  <c r="G1664" i="1"/>
  <c r="H1664" i="1"/>
  <c r="I1664" i="1"/>
  <c r="A1665" i="1"/>
  <c r="B1665" i="1"/>
  <c r="C1665" i="1"/>
  <c r="D1665" i="1"/>
  <c r="E1665" i="1"/>
  <c r="F1665" i="1"/>
  <c r="G1665" i="1"/>
  <c r="H1665" i="1"/>
  <c r="I1665" i="1"/>
  <c r="A1666" i="1"/>
  <c r="B1666" i="1"/>
  <c r="C1666" i="1"/>
  <c r="D1666" i="1"/>
  <c r="E1666" i="1"/>
  <c r="F1666" i="1"/>
  <c r="G1666" i="1"/>
  <c r="H1666" i="1"/>
  <c r="I1666" i="1"/>
  <c r="A1667" i="1"/>
  <c r="B1667" i="1"/>
  <c r="C1667" i="1"/>
  <c r="D1667" i="1"/>
  <c r="E1667" i="1"/>
  <c r="F1667" i="1"/>
  <c r="G1667" i="1"/>
  <c r="H1667" i="1"/>
  <c r="I1667" i="1"/>
  <c r="A1668" i="1"/>
  <c r="B1668" i="1"/>
  <c r="C1668" i="1"/>
  <c r="D1668" i="1"/>
  <c r="E1668" i="1"/>
  <c r="F1668" i="1"/>
  <c r="G1668" i="1"/>
  <c r="H1668" i="1"/>
  <c r="I1668" i="1"/>
  <c r="A1669" i="1"/>
  <c r="B1669" i="1"/>
  <c r="C1669" i="1"/>
  <c r="D1669" i="1"/>
  <c r="E1669" i="1"/>
  <c r="F1669" i="1"/>
  <c r="G1669" i="1"/>
  <c r="H1669" i="1"/>
  <c r="I1669" i="1"/>
  <c r="A1670" i="1"/>
  <c r="B1670" i="1"/>
  <c r="C1670" i="1"/>
  <c r="D1670" i="1"/>
  <c r="E1670" i="1"/>
  <c r="F1670" i="1"/>
  <c r="G1670" i="1"/>
  <c r="H1670" i="1"/>
  <c r="I1670" i="1"/>
  <c r="A1671" i="1"/>
  <c r="B1671" i="1"/>
  <c r="C1671" i="1"/>
  <c r="D1671" i="1"/>
  <c r="E1671" i="1"/>
  <c r="F1671" i="1"/>
  <c r="G1671" i="1"/>
  <c r="H1671" i="1"/>
  <c r="I1671" i="1"/>
  <c r="A1672" i="1"/>
  <c r="B1672" i="1"/>
  <c r="C1672" i="1"/>
  <c r="D1672" i="1"/>
  <c r="E1672" i="1"/>
  <c r="F1672" i="1"/>
  <c r="G1672" i="1"/>
  <c r="H1672" i="1"/>
  <c r="I1672" i="1"/>
  <c r="A1673" i="1"/>
  <c r="B1673" i="1"/>
  <c r="C1673" i="1"/>
  <c r="D1673" i="1"/>
  <c r="E1673" i="1"/>
  <c r="F1673" i="1"/>
  <c r="G1673" i="1"/>
  <c r="H1673" i="1"/>
  <c r="I1673" i="1"/>
  <c r="A1674" i="1"/>
  <c r="B1674" i="1"/>
  <c r="C1674" i="1"/>
  <c r="D1674" i="1"/>
  <c r="E1674" i="1"/>
  <c r="F1674" i="1"/>
  <c r="G1674" i="1"/>
  <c r="H1674" i="1"/>
  <c r="I1674" i="1"/>
  <c r="A1675" i="1"/>
  <c r="B1675" i="1"/>
  <c r="C1675" i="1"/>
  <c r="D1675" i="1"/>
  <c r="E1675" i="1"/>
  <c r="F1675" i="1"/>
  <c r="G1675" i="1"/>
  <c r="H1675" i="1"/>
  <c r="I1675" i="1"/>
  <c r="A1676" i="1"/>
  <c r="B1676" i="1"/>
  <c r="C1676" i="1"/>
  <c r="D1676" i="1"/>
  <c r="E1676" i="1"/>
  <c r="F1676" i="1"/>
  <c r="G1676" i="1"/>
  <c r="H1676" i="1"/>
  <c r="I1676" i="1"/>
  <c r="A1677" i="1"/>
  <c r="B1677" i="1"/>
  <c r="C1677" i="1"/>
  <c r="D1677" i="1"/>
  <c r="E1677" i="1"/>
  <c r="F1677" i="1"/>
  <c r="G1677" i="1"/>
  <c r="H1677" i="1"/>
  <c r="I1677" i="1"/>
  <c r="A1678" i="1"/>
  <c r="B1678" i="1"/>
  <c r="C1678" i="1"/>
  <c r="D1678" i="1"/>
  <c r="E1678" i="1"/>
  <c r="F1678" i="1"/>
  <c r="G1678" i="1"/>
  <c r="H1678" i="1"/>
  <c r="I1678" i="1"/>
  <c r="A1679" i="1"/>
  <c r="B1679" i="1"/>
  <c r="C1679" i="1"/>
  <c r="D1679" i="1"/>
  <c r="E1679" i="1"/>
  <c r="F1679" i="1"/>
  <c r="G1679" i="1"/>
  <c r="H1679" i="1"/>
  <c r="I1679" i="1"/>
  <c r="A1680" i="1"/>
  <c r="B1680" i="1"/>
  <c r="C1680" i="1"/>
  <c r="D1680" i="1"/>
  <c r="E1680" i="1"/>
  <c r="F1680" i="1"/>
  <c r="G1680" i="1"/>
  <c r="H1680" i="1"/>
  <c r="I1680" i="1"/>
  <c r="A1681" i="1"/>
  <c r="B1681" i="1"/>
  <c r="C1681" i="1"/>
  <c r="D1681" i="1"/>
  <c r="E1681" i="1"/>
  <c r="F1681" i="1"/>
  <c r="G1681" i="1"/>
  <c r="H1681" i="1"/>
  <c r="I1681" i="1"/>
  <c r="A1682" i="1"/>
  <c r="B1682" i="1"/>
  <c r="C1682" i="1"/>
  <c r="D1682" i="1"/>
  <c r="E1682" i="1"/>
  <c r="F1682" i="1"/>
  <c r="G1682" i="1"/>
  <c r="H1682" i="1"/>
  <c r="I1682" i="1"/>
  <c r="A1683" i="1"/>
  <c r="B1683" i="1"/>
  <c r="C1683" i="1"/>
  <c r="D1683" i="1"/>
  <c r="E1683" i="1"/>
  <c r="F1683" i="1"/>
  <c r="G1683" i="1"/>
  <c r="H1683" i="1"/>
  <c r="I1683" i="1"/>
  <c r="A1684" i="1"/>
  <c r="B1684" i="1"/>
  <c r="C1684" i="1"/>
  <c r="D1684" i="1"/>
  <c r="E1684" i="1"/>
  <c r="F1684" i="1"/>
  <c r="G1684" i="1"/>
  <c r="H1684" i="1"/>
  <c r="I1684" i="1"/>
  <c r="A1685" i="1"/>
  <c r="B1685" i="1"/>
  <c r="C1685" i="1"/>
  <c r="D1685" i="1"/>
  <c r="E1685" i="1"/>
  <c r="F1685" i="1"/>
  <c r="G1685" i="1"/>
  <c r="H1685" i="1"/>
  <c r="I1685" i="1"/>
  <c r="A1686" i="1"/>
  <c r="B1686" i="1"/>
  <c r="C1686" i="1"/>
  <c r="D1686" i="1"/>
  <c r="E1686" i="1"/>
  <c r="F1686" i="1"/>
  <c r="G1686" i="1"/>
  <c r="H1686" i="1"/>
  <c r="I1686" i="1"/>
  <c r="A1687" i="1"/>
  <c r="B1687" i="1"/>
  <c r="C1687" i="1"/>
  <c r="D1687" i="1"/>
  <c r="E1687" i="1"/>
  <c r="F1687" i="1"/>
  <c r="G1687" i="1"/>
  <c r="H1687" i="1"/>
  <c r="I1687" i="1"/>
  <c r="A1688" i="1"/>
  <c r="B1688" i="1"/>
  <c r="C1688" i="1"/>
  <c r="D1688" i="1"/>
  <c r="E1688" i="1"/>
  <c r="F1688" i="1"/>
  <c r="G1688" i="1"/>
  <c r="H1688" i="1"/>
  <c r="I1688" i="1"/>
  <c r="A1689" i="1"/>
  <c r="B1689" i="1"/>
  <c r="C1689" i="1"/>
  <c r="D1689" i="1"/>
  <c r="E1689" i="1"/>
  <c r="F1689" i="1"/>
  <c r="G1689" i="1"/>
  <c r="H1689" i="1"/>
  <c r="I1689" i="1"/>
  <c r="A1690" i="1"/>
  <c r="B1690" i="1"/>
  <c r="C1690" i="1"/>
  <c r="D1690" i="1"/>
  <c r="E1690" i="1"/>
  <c r="F1690" i="1"/>
  <c r="G1690" i="1"/>
  <c r="H1690" i="1"/>
  <c r="I1690" i="1"/>
  <c r="A1691" i="1"/>
  <c r="B1691" i="1"/>
  <c r="C1691" i="1"/>
  <c r="D1691" i="1"/>
  <c r="E1691" i="1"/>
  <c r="F1691" i="1"/>
  <c r="G1691" i="1"/>
  <c r="H1691" i="1"/>
  <c r="I1691" i="1"/>
  <c r="A1692" i="1"/>
  <c r="B1692" i="1"/>
  <c r="C1692" i="1"/>
  <c r="D1692" i="1"/>
  <c r="E1692" i="1"/>
  <c r="F1692" i="1"/>
  <c r="G1692" i="1"/>
  <c r="H1692" i="1"/>
  <c r="I1692" i="1"/>
  <c r="A1693" i="1"/>
  <c r="B1693" i="1"/>
  <c r="C1693" i="1"/>
  <c r="D1693" i="1"/>
  <c r="E1693" i="1"/>
  <c r="F1693" i="1"/>
  <c r="G1693" i="1"/>
  <c r="H1693" i="1"/>
  <c r="I1693" i="1"/>
  <c r="A1694" i="1"/>
  <c r="B1694" i="1"/>
  <c r="C1694" i="1"/>
  <c r="D1694" i="1"/>
  <c r="E1694" i="1"/>
  <c r="F1694" i="1"/>
  <c r="G1694" i="1"/>
  <c r="H1694" i="1"/>
  <c r="I1694" i="1"/>
  <c r="A1695" i="1"/>
  <c r="B1695" i="1"/>
  <c r="C1695" i="1"/>
  <c r="D1695" i="1"/>
  <c r="E1695" i="1"/>
  <c r="F1695" i="1"/>
  <c r="G1695" i="1"/>
  <c r="H1695" i="1"/>
  <c r="I1695" i="1"/>
  <c r="A1696" i="1"/>
  <c r="B1696" i="1"/>
  <c r="C1696" i="1"/>
  <c r="D1696" i="1"/>
  <c r="E1696" i="1"/>
  <c r="F1696" i="1"/>
  <c r="G1696" i="1"/>
  <c r="H1696" i="1"/>
  <c r="I1696" i="1"/>
  <c r="A1697" i="1"/>
  <c r="B1697" i="1"/>
  <c r="C1697" i="1"/>
  <c r="D1697" i="1"/>
  <c r="E1697" i="1"/>
  <c r="F1697" i="1"/>
  <c r="G1697" i="1"/>
  <c r="H1697" i="1"/>
  <c r="I1697" i="1"/>
  <c r="A1698" i="1"/>
  <c r="B1698" i="1"/>
  <c r="C1698" i="1"/>
  <c r="D1698" i="1"/>
  <c r="E1698" i="1"/>
  <c r="F1698" i="1"/>
  <c r="G1698" i="1"/>
  <c r="H1698" i="1"/>
  <c r="I1698" i="1"/>
  <c r="A1699" i="1"/>
  <c r="B1699" i="1"/>
  <c r="C1699" i="1"/>
  <c r="D1699" i="1"/>
  <c r="E1699" i="1"/>
  <c r="F1699" i="1"/>
  <c r="G1699" i="1"/>
  <c r="H1699" i="1"/>
  <c r="I1699" i="1"/>
  <c r="A1700" i="1"/>
  <c r="B1700" i="1"/>
  <c r="C1700" i="1"/>
  <c r="D1700" i="1"/>
  <c r="E1700" i="1"/>
  <c r="F1700" i="1"/>
  <c r="G1700" i="1"/>
  <c r="H1700" i="1"/>
  <c r="I1700" i="1"/>
  <c r="A1701" i="1"/>
  <c r="B1701" i="1"/>
  <c r="C1701" i="1"/>
  <c r="D1701" i="1"/>
  <c r="E1701" i="1"/>
  <c r="F1701" i="1"/>
  <c r="G1701" i="1"/>
  <c r="H1701" i="1"/>
  <c r="I1701" i="1"/>
  <c r="A1702" i="1"/>
  <c r="B1702" i="1"/>
  <c r="C1702" i="1"/>
  <c r="D1702" i="1"/>
  <c r="E1702" i="1"/>
  <c r="F1702" i="1"/>
  <c r="G1702" i="1"/>
  <c r="H1702" i="1"/>
  <c r="I1702" i="1"/>
  <c r="A1703" i="1"/>
  <c r="B1703" i="1"/>
  <c r="C1703" i="1"/>
  <c r="D1703" i="1"/>
  <c r="E1703" i="1"/>
  <c r="F1703" i="1"/>
  <c r="G1703" i="1"/>
  <c r="H1703" i="1"/>
  <c r="I1703" i="1"/>
  <c r="A1704" i="1"/>
  <c r="B1704" i="1"/>
  <c r="C1704" i="1"/>
  <c r="D1704" i="1"/>
  <c r="E1704" i="1"/>
  <c r="F1704" i="1"/>
  <c r="G1704" i="1"/>
  <c r="H1704" i="1"/>
  <c r="I1704" i="1"/>
  <c r="A1705" i="1"/>
  <c r="B1705" i="1"/>
  <c r="C1705" i="1"/>
  <c r="D1705" i="1"/>
  <c r="E1705" i="1"/>
  <c r="F1705" i="1"/>
  <c r="G1705" i="1"/>
  <c r="H1705" i="1"/>
  <c r="I1705" i="1"/>
  <c r="A1706" i="1"/>
  <c r="B1706" i="1"/>
  <c r="C1706" i="1"/>
  <c r="D1706" i="1"/>
  <c r="E1706" i="1"/>
  <c r="F1706" i="1"/>
  <c r="G1706" i="1"/>
  <c r="H1706" i="1"/>
  <c r="I1706" i="1"/>
  <c r="A1707" i="1"/>
  <c r="B1707" i="1"/>
  <c r="C1707" i="1"/>
  <c r="D1707" i="1"/>
  <c r="E1707" i="1"/>
  <c r="F1707" i="1"/>
  <c r="G1707" i="1"/>
  <c r="H1707" i="1"/>
  <c r="I1707" i="1"/>
  <c r="A1708" i="1"/>
  <c r="B1708" i="1"/>
  <c r="C1708" i="1"/>
  <c r="D1708" i="1"/>
  <c r="E1708" i="1"/>
  <c r="F1708" i="1"/>
  <c r="G1708" i="1"/>
  <c r="H1708" i="1"/>
  <c r="I1708" i="1"/>
  <c r="A1709" i="1"/>
  <c r="B1709" i="1"/>
  <c r="C1709" i="1"/>
  <c r="D1709" i="1"/>
  <c r="E1709" i="1"/>
  <c r="F1709" i="1"/>
  <c r="G1709" i="1"/>
  <c r="H1709" i="1"/>
  <c r="I1709" i="1"/>
  <c r="A1710" i="1"/>
  <c r="B1710" i="1"/>
  <c r="C1710" i="1"/>
  <c r="D1710" i="1"/>
  <c r="E1710" i="1"/>
  <c r="F1710" i="1"/>
  <c r="G1710" i="1"/>
  <c r="H1710" i="1"/>
  <c r="I1710" i="1"/>
  <c r="A1711" i="1"/>
  <c r="B1711" i="1"/>
  <c r="C1711" i="1"/>
  <c r="D1711" i="1"/>
  <c r="E1711" i="1"/>
  <c r="F1711" i="1"/>
  <c r="G1711" i="1"/>
  <c r="H1711" i="1"/>
  <c r="I1711" i="1"/>
  <c r="A1712" i="1"/>
  <c r="B1712" i="1"/>
  <c r="C1712" i="1"/>
  <c r="D1712" i="1"/>
  <c r="E1712" i="1"/>
  <c r="F1712" i="1"/>
  <c r="G1712" i="1"/>
  <c r="H1712" i="1"/>
  <c r="I1712" i="1"/>
  <c r="A1713" i="1"/>
  <c r="B1713" i="1"/>
  <c r="C1713" i="1"/>
  <c r="D1713" i="1"/>
  <c r="E1713" i="1"/>
  <c r="F1713" i="1"/>
  <c r="G1713" i="1"/>
  <c r="H1713" i="1"/>
  <c r="I1713" i="1"/>
  <c r="A1714" i="1"/>
  <c r="B1714" i="1"/>
  <c r="C1714" i="1"/>
  <c r="D1714" i="1"/>
  <c r="E1714" i="1"/>
  <c r="F1714" i="1"/>
  <c r="G1714" i="1"/>
  <c r="H1714" i="1"/>
  <c r="I1714" i="1"/>
  <c r="A1715" i="1"/>
  <c r="B1715" i="1"/>
  <c r="C1715" i="1"/>
  <c r="D1715" i="1"/>
  <c r="E1715" i="1"/>
  <c r="F1715" i="1"/>
  <c r="G1715" i="1"/>
  <c r="H1715" i="1"/>
  <c r="I1715" i="1"/>
  <c r="A1716" i="1"/>
  <c r="B1716" i="1"/>
  <c r="C1716" i="1"/>
  <c r="D1716" i="1"/>
  <c r="E1716" i="1"/>
  <c r="F1716" i="1"/>
  <c r="G1716" i="1"/>
  <c r="H1716" i="1"/>
  <c r="I1716" i="1"/>
  <c r="A1717" i="1"/>
  <c r="B1717" i="1"/>
  <c r="C1717" i="1"/>
  <c r="D1717" i="1"/>
  <c r="E1717" i="1"/>
  <c r="F1717" i="1"/>
  <c r="G1717" i="1"/>
  <c r="H1717" i="1"/>
  <c r="I1717" i="1"/>
  <c r="A1718" i="1"/>
  <c r="B1718" i="1"/>
  <c r="C1718" i="1"/>
  <c r="D1718" i="1"/>
  <c r="E1718" i="1"/>
  <c r="F1718" i="1"/>
  <c r="G1718" i="1"/>
  <c r="H1718" i="1"/>
  <c r="I1718" i="1"/>
  <c r="A1719" i="1"/>
  <c r="B1719" i="1"/>
  <c r="C1719" i="1"/>
  <c r="D1719" i="1"/>
  <c r="E1719" i="1"/>
  <c r="F1719" i="1"/>
  <c r="G1719" i="1"/>
  <c r="H1719" i="1"/>
  <c r="I1719" i="1"/>
  <c r="A1720" i="1"/>
  <c r="B1720" i="1"/>
  <c r="C1720" i="1"/>
  <c r="D1720" i="1"/>
  <c r="E1720" i="1"/>
  <c r="F1720" i="1"/>
  <c r="G1720" i="1"/>
  <c r="H1720" i="1"/>
  <c r="I1720" i="1"/>
  <c r="A1721" i="1"/>
  <c r="B1721" i="1"/>
  <c r="C1721" i="1"/>
  <c r="D1721" i="1"/>
  <c r="E1721" i="1"/>
  <c r="F1721" i="1"/>
  <c r="G1721" i="1"/>
  <c r="H1721" i="1"/>
  <c r="I1721" i="1"/>
  <c r="A1722" i="1"/>
  <c r="B1722" i="1"/>
  <c r="C1722" i="1"/>
  <c r="D1722" i="1"/>
  <c r="E1722" i="1"/>
  <c r="F1722" i="1"/>
  <c r="G1722" i="1"/>
  <c r="H1722" i="1"/>
  <c r="I1722" i="1"/>
  <c r="A1723" i="1"/>
  <c r="B1723" i="1"/>
  <c r="C1723" i="1"/>
  <c r="D1723" i="1"/>
  <c r="E1723" i="1"/>
  <c r="F1723" i="1"/>
  <c r="G1723" i="1"/>
  <c r="H1723" i="1"/>
  <c r="I1723" i="1"/>
  <c r="A1724" i="1"/>
  <c r="B1724" i="1"/>
  <c r="C1724" i="1"/>
  <c r="D1724" i="1"/>
  <c r="E1724" i="1"/>
  <c r="F1724" i="1"/>
  <c r="G1724" i="1"/>
  <c r="H1724" i="1"/>
  <c r="I1724" i="1"/>
  <c r="A1725" i="1"/>
  <c r="B1725" i="1"/>
  <c r="C1725" i="1"/>
  <c r="D1725" i="1"/>
  <c r="E1725" i="1"/>
  <c r="F1725" i="1"/>
  <c r="G1725" i="1"/>
  <c r="H1725" i="1"/>
  <c r="I1725" i="1"/>
  <c r="A1726" i="1"/>
  <c r="B1726" i="1"/>
  <c r="C1726" i="1"/>
  <c r="D1726" i="1"/>
  <c r="E1726" i="1"/>
  <c r="F1726" i="1"/>
  <c r="G1726" i="1"/>
  <c r="H1726" i="1"/>
  <c r="I1726" i="1"/>
  <c r="A1727" i="1"/>
  <c r="B1727" i="1"/>
  <c r="C1727" i="1"/>
  <c r="D1727" i="1"/>
  <c r="E1727" i="1"/>
  <c r="F1727" i="1"/>
  <c r="G1727" i="1"/>
  <c r="H1727" i="1"/>
  <c r="I1727" i="1"/>
  <c r="A1728" i="1"/>
  <c r="B1728" i="1"/>
  <c r="C1728" i="1"/>
  <c r="D1728" i="1"/>
  <c r="E1728" i="1"/>
  <c r="F1728" i="1"/>
  <c r="G1728" i="1"/>
  <c r="H1728" i="1"/>
  <c r="I1728" i="1"/>
  <c r="A1729" i="1"/>
  <c r="B1729" i="1"/>
  <c r="C1729" i="1"/>
  <c r="D1729" i="1"/>
  <c r="E1729" i="1"/>
  <c r="F1729" i="1"/>
  <c r="G1729" i="1"/>
  <c r="H1729" i="1"/>
  <c r="I1729" i="1"/>
  <c r="A1730" i="1"/>
  <c r="B1730" i="1"/>
  <c r="C1730" i="1"/>
  <c r="D1730" i="1"/>
  <c r="E1730" i="1"/>
  <c r="F1730" i="1"/>
  <c r="G1730" i="1"/>
  <c r="H1730" i="1"/>
  <c r="I1730" i="1"/>
  <c r="A1731" i="1"/>
  <c r="B1731" i="1"/>
  <c r="C1731" i="1"/>
  <c r="D1731" i="1"/>
  <c r="E1731" i="1"/>
  <c r="F1731" i="1"/>
  <c r="G1731" i="1"/>
  <c r="H1731" i="1"/>
  <c r="I1731" i="1"/>
  <c r="A1732" i="1"/>
  <c r="B1732" i="1"/>
  <c r="C1732" i="1"/>
  <c r="D1732" i="1"/>
  <c r="E1732" i="1"/>
  <c r="F1732" i="1"/>
  <c r="G1732" i="1"/>
  <c r="H1732" i="1"/>
  <c r="I1732" i="1"/>
  <c r="A1733" i="1"/>
  <c r="B1733" i="1"/>
  <c r="C1733" i="1"/>
  <c r="D1733" i="1"/>
  <c r="E1733" i="1"/>
  <c r="F1733" i="1"/>
  <c r="G1733" i="1"/>
  <c r="H1733" i="1"/>
  <c r="I1733" i="1"/>
  <c r="A1734" i="1"/>
  <c r="B1734" i="1"/>
  <c r="C1734" i="1"/>
  <c r="D1734" i="1"/>
  <c r="E1734" i="1"/>
  <c r="F1734" i="1"/>
  <c r="G1734" i="1"/>
  <c r="H1734" i="1"/>
  <c r="I1734" i="1"/>
  <c r="A1735" i="1"/>
  <c r="B1735" i="1"/>
  <c r="C1735" i="1"/>
  <c r="D1735" i="1"/>
  <c r="E1735" i="1"/>
  <c r="F1735" i="1"/>
  <c r="G1735" i="1"/>
  <c r="H1735" i="1"/>
  <c r="I1735" i="1"/>
  <c r="A1736" i="1"/>
  <c r="B1736" i="1"/>
  <c r="C1736" i="1"/>
  <c r="D1736" i="1"/>
  <c r="E1736" i="1"/>
  <c r="F1736" i="1"/>
  <c r="G1736" i="1"/>
  <c r="H1736" i="1"/>
  <c r="I1736" i="1"/>
  <c r="A1737" i="1"/>
  <c r="B1737" i="1"/>
  <c r="C1737" i="1"/>
  <c r="D1737" i="1"/>
  <c r="E1737" i="1"/>
  <c r="F1737" i="1"/>
  <c r="G1737" i="1"/>
  <c r="H1737" i="1"/>
  <c r="I1737" i="1"/>
  <c r="A1738" i="1"/>
  <c r="B1738" i="1"/>
  <c r="C1738" i="1"/>
  <c r="D1738" i="1"/>
  <c r="E1738" i="1"/>
  <c r="F1738" i="1"/>
  <c r="G1738" i="1"/>
  <c r="H1738" i="1"/>
  <c r="I1738" i="1"/>
  <c r="A1739" i="1"/>
  <c r="B1739" i="1"/>
  <c r="C1739" i="1"/>
  <c r="D1739" i="1"/>
  <c r="E1739" i="1"/>
  <c r="F1739" i="1"/>
  <c r="G1739" i="1"/>
  <c r="H1739" i="1"/>
  <c r="I1739" i="1"/>
  <c r="A1740" i="1"/>
  <c r="B1740" i="1"/>
  <c r="C1740" i="1"/>
  <c r="D1740" i="1"/>
  <c r="E1740" i="1"/>
  <c r="F1740" i="1"/>
  <c r="G1740" i="1"/>
  <c r="H1740" i="1"/>
  <c r="I1740" i="1"/>
  <c r="A1741" i="1"/>
  <c r="B1741" i="1"/>
  <c r="C1741" i="1"/>
  <c r="D1741" i="1"/>
  <c r="E1741" i="1"/>
  <c r="F1741" i="1"/>
  <c r="G1741" i="1"/>
  <c r="H1741" i="1"/>
  <c r="I1741" i="1"/>
  <c r="A1742" i="1"/>
  <c r="B1742" i="1"/>
  <c r="C1742" i="1"/>
  <c r="D1742" i="1"/>
  <c r="E1742" i="1"/>
  <c r="F1742" i="1"/>
  <c r="G1742" i="1"/>
  <c r="H1742" i="1"/>
  <c r="I1742" i="1"/>
  <c r="A1743" i="1"/>
  <c r="B1743" i="1"/>
  <c r="C1743" i="1"/>
  <c r="D1743" i="1"/>
  <c r="E1743" i="1"/>
  <c r="F1743" i="1"/>
  <c r="G1743" i="1"/>
  <c r="H1743" i="1"/>
  <c r="I1743" i="1"/>
  <c r="A1744" i="1"/>
  <c r="B1744" i="1"/>
  <c r="C1744" i="1"/>
  <c r="D1744" i="1"/>
  <c r="E1744" i="1"/>
  <c r="F1744" i="1"/>
  <c r="G1744" i="1"/>
  <c r="H1744" i="1"/>
  <c r="I1744" i="1"/>
  <c r="A1745" i="1"/>
  <c r="B1745" i="1"/>
  <c r="C1745" i="1"/>
  <c r="D1745" i="1"/>
  <c r="E1745" i="1"/>
  <c r="F1745" i="1"/>
  <c r="G1745" i="1"/>
  <c r="H1745" i="1"/>
  <c r="I1745" i="1"/>
  <c r="A1746" i="1"/>
  <c r="B1746" i="1"/>
  <c r="C1746" i="1"/>
  <c r="D1746" i="1"/>
  <c r="E1746" i="1"/>
  <c r="F1746" i="1"/>
  <c r="G1746" i="1"/>
  <c r="H1746" i="1"/>
  <c r="I1746" i="1"/>
  <c r="A1747" i="1"/>
  <c r="B1747" i="1"/>
  <c r="C1747" i="1"/>
  <c r="D1747" i="1"/>
  <c r="E1747" i="1"/>
  <c r="F1747" i="1"/>
  <c r="G1747" i="1"/>
  <c r="H1747" i="1"/>
  <c r="I1747" i="1"/>
  <c r="A1748" i="1"/>
  <c r="B1748" i="1"/>
  <c r="C1748" i="1"/>
  <c r="D1748" i="1"/>
  <c r="E1748" i="1"/>
  <c r="F1748" i="1"/>
  <c r="G1748" i="1"/>
  <c r="H1748" i="1"/>
  <c r="I1748" i="1"/>
  <c r="A1749" i="1"/>
  <c r="B1749" i="1"/>
  <c r="C1749" i="1"/>
  <c r="D1749" i="1"/>
  <c r="E1749" i="1"/>
  <c r="F1749" i="1"/>
  <c r="G1749" i="1"/>
  <c r="H1749" i="1"/>
  <c r="I1749" i="1"/>
  <c r="A1750" i="1"/>
  <c r="B1750" i="1"/>
  <c r="C1750" i="1"/>
  <c r="D1750" i="1"/>
  <c r="E1750" i="1"/>
  <c r="F1750" i="1"/>
  <c r="G1750" i="1"/>
  <c r="H1750" i="1"/>
  <c r="I1750" i="1"/>
  <c r="A1751" i="1"/>
  <c r="B1751" i="1"/>
  <c r="C1751" i="1"/>
  <c r="D1751" i="1"/>
  <c r="E1751" i="1"/>
  <c r="F1751" i="1"/>
  <c r="G1751" i="1"/>
  <c r="H1751" i="1"/>
  <c r="I1751" i="1"/>
  <c r="A1752" i="1"/>
  <c r="B1752" i="1"/>
  <c r="C1752" i="1"/>
  <c r="D1752" i="1"/>
  <c r="E1752" i="1"/>
  <c r="F1752" i="1"/>
  <c r="G1752" i="1"/>
  <c r="H1752" i="1"/>
  <c r="I1752" i="1"/>
  <c r="A1753" i="1"/>
  <c r="B1753" i="1"/>
  <c r="C1753" i="1"/>
  <c r="D1753" i="1"/>
  <c r="E1753" i="1"/>
  <c r="F1753" i="1"/>
  <c r="G1753" i="1"/>
  <c r="H1753" i="1"/>
  <c r="I1753" i="1"/>
  <c r="A1754" i="1"/>
  <c r="B1754" i="1"/>
  <c r="C1754" i="1"/>
  <c r="D1754" i="1"/>
  <c r="E1754" i="1"/>
  <c r="F1754" i="1"/>
  <c r="G1754" i="1"/>
  <c r="H1754" i="1"/>
  <c r="I1754" i="1"/>
  <c r="A1755" i="1"/>
  <c r="B1755" i="1"/>
  <c r="C1755" i="1"/>
  <c r="D1755" i="1"/>
  <c r="E1755" i="1"/>
  <c r="F1755" i="1"/>
  <c r="G1755" i="1"/>
  <c r="H1755" i="1"/>
  <c r="I1755" i="1"/>
  <c r="A1756" i="1"/>
  <c r="B1756" i="1"/>
  <c r="C1756" i="1"/>
  <c r="D1756" i="1"/>
  <c r="E1756" i="1"/>
  <c r="F1756" i="1"/>
  <c r="G1756" i="1"/>
  <c r="H1756" i="1"/>
  <c r="I1756" i="1"/>
  <c r="A1757" i="1"/>
  <c r="B1757" i="1"/>
  <c r="C1757" i="1"/>
  <c r="D1757" i="1"/>
  <c r="E1757" i="1"/>
  <c r="F1757" i="1"/>
  <c r="G1757" i="1"/>
  <c r="H1757" i="1"/>
  <c r="I1757" i="1"/>
  <c r="A1758" i="1"/>
  <c r="B1758" i="1"/>
  <c r="C1758" i="1"/>
  <c r="D1758" i="1"/>
  <c r="E1758" i="1"/>
  <c r="F1758" i="1"/>
  <c r="G1758" i="1"/>
  <c r="H1758" i="1"/>
  <c r="I1758" i="1"/>
  <c r="A1759" i="1"/>
  <c r="B1759" i="1"/>
  <c r="C1759" i="1"/>
  <c r="D1759" i="1"/>
  <c r="E1759" i="1"/>
  <c r="F1759" i="1"/>
  <c r="G1759" i="1"/>
  <c r="H1759" i="1"/>
  <c r="I1759" i="1"/>
  <c r="A1760" i="1"/>
  <c r="B1760" i="1"/>
  <c r="C1760" i="1"/>
  <c r="D1760" i="1"/>
  <c r="E1760" i="1"/>
  <c r="F1760" i="1"/>
  <c r="G1760" i="1"/>
  <c r="H1760" i="1"/>
  <c r="I1760" i="1"/>
  <c r="A1761" i="1"/>
  <c r="B1761" i="1"/>
  <c r="C1761" i="1"/>
  <c r="D1761" i="1"/>
  <c r="E1761" i="1"/>
  <c r="F1761" i="1"/>
  <c r="G1761" i="1"/>
  <c r="H1761" i="1"/>
  <c r="I1761" i="1"/>
  <c r="A1762" i="1"/>
  <c r="B1762" i="1"/>
  <c r="C1762" i="1"/>
  <c r="D1762" i="1"/>
  <c r="E1762" i="1"/>
  <c r="F1762" i="1"/>
  <c r="G1762" i="1"/>
  <c r="H1762" i="1"/>
  <c r="I1762" i="1"/>
  <c r="A1763" i="1"/>
  <c r="B1763" i="1"/>
  <c r="C1763" i="1"/>
  <c r="D1763" i="1"/>
  <c r="E1763" i="1"/>
  <c r="F1763" i="1"/>
  <c r="G1763" i="1"/>
  <c r="H1763" i="1"/>
  <c r="I1763" i="1"/>
  <c r="A1764" i="1"/>
  <c r="B1764" i="1"/>
  <c r="C1764" i="1"/>
  <c r="D1764" i="1"/>
  <c r="E1764" i="1"/>
  <c r="F1764" i="1"/>
  <c r="G1764" i="1"/>
  <c r="H1764" i="1"/>
  <c r="I1764" i="1"/>
</calcChain>
</file>

<file path=xl/sharedStrings.xml><?xml version="1.0" encoding="utf-8"?>
<sst xmlns="http://schemas.openxmlformats.org/spreadsheetml/2006/main" count="9" uniqueCount="9">
  <si>
    <t>검진일자</t>
    <phoneticPr fontId="18" type="noConversion"/>
  </si>
  <si>
    <t>수진자번호</t>
    <phoneticPr fontId="18" type="noConversion"/>
  </si>
  <si>
    <t>수진자명</t>
    <phoneticPr fontId="18" type="noConversion"/>
  </si>
  <si>
    <t>성별</t>
    <phoneticPr fontId="18" type="noConversion"/>
  </si>
  <si>
    <t>생년월일</t>
    <phoneticPr fontId="18" type="noConversion"/>
  </si>
  <si>
    <t>나이</t>
    <phoneticPr fontId="18" type="noConversion"/>
  </si>
  <si>
    <t>사업장코드</t>
    <phoneticPr fontId="18" type="noConversion"/>
  </si>
  <si>
    <t>사업장명</t>
    <phoneticPr fontId="18" type="noConversion"/>
  </si>
  <si>
    <t>구분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</si>
</sst>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33" borderId="10" xfId="0" applyFont="1" applyFill="1" applyBorder="1">
      <alignment vertical="center"/>
    </xf>
    <xf numFmtId="0" fontId="19" fillId="0" borderId="10" xfId="0" applyFont="1" applyBorder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4"/>
  <sheetViews>
    <sheetView tabSelected="1" workbookViewId="0"/>
  </sheetViews>
  <sheetFormatPr defaultRowHeight="16.5" x14ac:dyDescent="0.3"/>
  <cols>
    <col min="1" max="1" width="8.5" bestFit="1" customWidth="1"/>
    <col min="3" max="3" width="10.5" bestFit="1" customWidth="1"/>
    <col min="4" max="4" width="4.5" bestFit="1" customWidth="1"/>
    <col min="5" max="5" width="8.5" bestFit="1" customWidth="1"/>
    <col min="6" max="6" width="4.5" bestFit="1" customWidth="1"/>
    <col min="8" max="8" width="26.125" bestFit="1" customWidth="1"/>
    <col min="9" max="9" width="6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tr">
        <f>"20240116"</f>
        <v>20240116</v>
      </c>
      <c r="B2" s="2" t="str">
        <f>"28554042"</f>
        <v>28554042</v>
      </c>
      <c r="C2" s="2" t="str">
        <f>"이가현"</f>
        <v>이가현</v>
      </c>
      <c r="D2" s="2" t="str">
        <f>"F"</f>
        <v>F</v>
      </c>
      <c r="E2" s="2" t="str">
        <f>"19950802"</f>
        <v>19950802</v>
      </c>
      <c r="F2" s="2" t="str">
        <f>"28"</f>
        <v>28</v>
      </c>
      <c r="G2" s="2" t="str">
        <f t="shared" ref="G2:G65" si="0">"E78660"</f>
        <v>E78660</v>
      </c>
      <c r="H2" s="2" t="str">
        <f t="shared" ref="H2:H65" si="1">"가톨릭대학교 서울성모병원"</f>
        <v>가톨릭대학교 서울성모병원</v>
      </c>
      <c r="I2" s="2" t="str">
        <f>"배치전"</f>
        <v>배치전</v>
      </c>
    </row>
    <row r="3" spans="1:9" x14ac:dyDescent="0.3">
      <c r="A3" s="2" t="str">
        <f>"20240116"</f>
        <v>20240116</v>
      </c>
      <c r="B3" s="2" t="str">
        <f>"33448421"</f>
        <v>33448421</v>
      </c>
      <c r="C3" s="2" t="str">
        <f>"김민지"</f>
        <v>김민지</v>
      </c>
      <c r="D3" s="2" t="str">
        <f>"F"</f>
        <v>F</v>
      </c>
      <c r="E3" s="2" t="str">
        <f>"20000213"</f>
        <v>20000213</v>
      </c>
      <c r="F3" s="2" t="str">
        <f>"23"</f>
        <v>23</v>
      </c>
      <c r="G3" s="2" t="str">
        <f t="shared" si="0"/>
        <v>E78660</v>
      </c>
      <c r="H3" s="2" t="str">
        <f t="shared" si="1"/>
        <v>가톨릭대학교 서울성모병원</v>
      </c>
      <c r="I3" s="2" t="str">
        <f>"배치후"</f>
        <v>배치후</v>
      </c>
    </row>
    <row r="4" spans="1:9" x14ac:dyDescent="0.3">
      <c r="A4" s="2" t="str">
        <f>"20240116"</f>
        <v>20240116</v>
      </c>
      <c r="B4" s="2" t="str">
        <f>"37904422"</f>
        <v>37904422</v>
      </c>
      <c r="C4" s="2" t="str">
        <f>"진정화"</f>
        <v>진정화</v>
      </c>
      <c r="D4" s="2" t="str">
        <f>"F"</f>
        <v>F</v>
      </c>
      <c r="E4" s="2" t="str">
        <f>"19990316"</f>
        <v>19990316</v>
      </c>
      <c r="F4" s="2" t="str">
        <f>"24"</f>
        <v>24</v>
      </c>
      <c r="G4" s="2" t="str">
        <f t="shared" si="0"/>
        <v>E78660</v>
      </c>
      <c r="H4" s="2" t="str">
        <f t="shared" si="1"/>
        <v>가톨릭대학교 서울성모병원</v>
      </c>
      <c r="I4" s="2" t="str">
        <f>"배치전"</f>
        <v>배치전</v>
      </c>
    </row>
    <row r="5" spans="1:9" x14ac:dyDescent="0.3">
      <c r="A5" s="2" t="str">
        <f>"20240116"</f>
        <v>20240116</v>
      </c>
      <c r="B5" s="2" t="str">
        <f>"38512561"</f>
        <v>38512561</v>
      </c>
      <c r="C5" s="2" t="str">
        <f>"이연성"</f>
        <v>이연성</v>
      </c>
      <c r="D5" s="2" t="str">
        <f>"F"</f>
        <v>F</v>
      </c>
      <c r="E5" s="2" t="str">
        <f>"20000829"</f>
        <v>20000829</v>
      </c>
      <c r="F5" s="2" t="str">
        <f>"23"</f>
        <v>23</v>
      </c>
      <c r="G5" s="2" t="str">
        <f t="shared" si="0"/>
        <v>E78660</v>
      </c>
      <c r="H5" s="2" t="str">
        <f t="shared" si="1"/>
        <v>가톨릭대학교 서울성모병원</v>
      </c>
      <c r="I5" s="2" t="str">
        <f>"배치후"</f>
        <v>배치후</v>
      </c>
    </row>
    <row r="6" spans="1:9" x14ac:dyDescent="0.3">
      <c r="A6" s="2" t="str">
        <f>"20240116"</f>
        <v>20240116</v>
      </c>
      <c r="B6" s="2" t="str">
        <f>"39535794"</f>
        <v>39535794</v>
      </c>
      <c r="C6" s="2" t="str">
        <f>"조정민"</f>
        <v>조정민</v>
      </c>
      <c r="D6" s="2" t="str">
        <f>"M"</f>
        <v>M</v>
      </c>
      <c r="E6" s="2" t="str">
        <f>"19970325"</f>
        <v>19970325</v>
      </c>
      <c r="F6" s="2" t="str">
        <f>"26"</f>
        <v>26</v>
      </c>
      <c r="G6" s="2" t="str">
        <f t="shared" si="0"/>
        <v>E78660</v>
      </c>
      <c r="H6" s="2" t="str">
        <f t="shared" si="1"/>
        <v>가톨릭대학교 서울성모병원</v>
      </c>
      <c r="I6" s="2" t="str">
        <f>"배치전"</f>
        <v>배치전</v>
      </c>
    </row>
    <row r="7" spans="1:9" x14ac:dyDescent="0.3">
      <c r="A7" s="2" t="str">
        <f t="shared" ref="A7:A17" si="2">"20240117"</f>
        <v>20240117</v>
      </c>
      <c r="B7" s="2" t="str">
        <f>"21514254"</f>
        <v>21514254</v>
      </c>
      <c r="C7" s="2" t="str">
        <f>"장미진"</f>
        <v>장미진</v>
      </c>
      <c r="D7" s="2" t="str">
        <f>"F"</f>
        <v>F</v>
      </c>
      <c r="E7" s="2" t="str">
        <f>"19860601"</f>
        <v>19860601</v>
      </c>
      <c r="F7" s="2" t="str">
        <f>"37"</f>
        <v>37</v>
      </c>
      <c r="G7" s="2" t="str">
        <f t="shared" si="0"/>
        <v>E78660</v>
      </c>
      <c r="H7" s="2" t="str">
        <f t="shared" si="1"/>
        <v>가톨릭대학교 서울성모병원</v>
      </c>
      <c r="I7" s="2" t="str">
        <f>"배치전"</f>
        <v>배치전</v>
      </c>
    </row>
    <row r="8" spans="1:9" x14ac:dyDescent="0.3">
      <c r="A8" s="2" t="str">
        <f t="shared" si="2"/>
        <v>20240117</v>
      </c>
      <c r="B8" s="2" t="str">
        <f>"32821766"</f>
        <v>32821766</v>
      </c>
      <c r="C8" s="2" t="str">
        <f>"박제연"</f>
        <v>박제연</v>
      </c>
      <c r="D8" s="2" t="str">
        <f>"F"</f>
        <v>F</v>
      </c>
      <c r="E8" s="2" t="str">
        <f>"19910809"</f>
        <v>19910809</v>
      </c>
      <c r="F8" s="2" t="str">
        <f>"32"</f>
        <v>32</v>
      </c>
      <c r="G8" s="2" t="str">
        <f t="shared" si="0"/>
        <v>E78660</v>
      </c>
      <c r="H8" s="2" t="str">
        <f t="shared" si="1"/>
        <v>가톨릭대학교 서울성모병원</v>
      </c>
      <c r="I8" s="2" t="str">
        <f>"배치후"</f>
        <v>배치후</v>
      </c>
    </row>
    <row r="9" spans="1:9" x14ac:dyDescent="0.3">
      <c r="A9" s="2" t="str">
        <f t="shared" si="2"/>
        <v>20240117</v>
      </c>
      <c r="B9" s="2" t="str">
        <f>"33447890"</f>
        <v>33447890</v>
      </c>
      <c r="C9" s="2" t="str">
        <f>"김가영"</f>
        <v>김가영</v>
      </c>
      <c r="D9" s="2" t="str">
        <f>"F"</f>
        <v>F</v>
      </c>
      <c r="E9" s="2" t="str">
        <f>"20000831"</f>
        <v>20000831</v>
      </c>
      <c r="F9" s="2" t="str">
        <f>"23"</f>
        <v>23</v>
      </c>
      <c r="G9" s="2" t="str">
        <f t="shared" si="0"/>
        <v>E78660</v>
      </c>
      <c r="H9" s="2" t="str">
        <f t="shared" si="1"/>
        <v>가톨릭대학교 서울성모병원</v>
      </c>
      <c r="I9" s="2" t="str">
        <f>"배치후"</f>
        <v>배치후</v>
      </c>
    </row>
    <row r="10" spans="1:9" x14ac:dyDescent="0.3">
      <c r="A10" s="2" t="str">
        <f t="shared" si="2"/>
        <v>20240117</v>
      </c>
      <c r="B10" s="2" t="str">
        <f>"33448593"</f>
        <v>33448593</v>
      </c>
      <c r="C10" s="2" t="str">
        <f>"정다연"</f>
        <v>정다연</v>
      </c>
      <c r="D10" s="2" t="str">
        <f>"F"</f>
        <v>F</v>
      </c>
      <c r="E10" s="2" t="str">
        <f>"19991016"</f>
        <v>19991016</v>
      </c>
      <c r="F10" s="2" t="str">
        <f>"24"</f>
        <v>24</v>
      </c>
      <c r="G10" s="2" t="str">
        <f t="shared" si="0"/>
        <v>E78660</v>
      </c>
      <c r="H10" s="2" t="str">
        <f t="shared" si="1"/>
        <v>가톨릭대학교 서울성모병원</v>
      </c>
      <c r="I10" s="2" t="str">
        <f>"배치전"</f>
        <v>배치전</v>
      </c>
    </row>
    <row r="11" spans="1:9" x14ac:dyDescent="0.3">
      <c r="A11" s="2" t="str">
        <f t="shared" si="2"/>
        <v>20240117</v>
      </c>
      <c r="B11" s="2" t="str">
        <f>"38589360"</f>
        <v>38589360</v>
      </c>
      <c r="C11" s="2" t="str">
        <f>"박민경"</f>
        <v>박민경</v>
      </c>
      <c r="D11" s="2" t="str">
        <f>"F"</f>
        <v>F</v>
      </c>
      <c r="E11" s="2" t="str">
        <f>"19921020"</f>
        <v>19921020</v>
      </c>
      <c r="F11" s="2" t="str">
        <f>"31"</f>
        <v>31</v>
      </c>
      <c r="G11" s="2" t="str">
        <f t="shared" si="0"/>
        <v>E78660</v>
      </c>
      <c r="H11" s="2" t="str">
        <f t="shared" si="1"/>
        <v>가톨릭대학교 서울성모병원</v>
      </c>
      <c r="I11" s="2" t="str">
        <f>"배치후"</f>
        <v>배치후</v>
      </c>
    </row>
    <row r="12" spans="1:9" x14ac:dyDescent="0.3">
      <c r="A12" s="2" t="str">
        <f t="shared" si="2"/>
        <v>20240117</v>
      </c>
      <c r="B12" s="2" t="str">
        <f>"38796624"</f>
        <v>38796624</v>
      </c>
      <c r="C12" s="2" t="str">
        <f>"이재석"</f>
        <v>이재석</v>
      </c>
      <c r="D12" s="2" t="str">
        <f>"M"</f>
        <v>M</v>
      </c>
      <c r="E12" s="2" t="str">
        <f>"19980608"</f>
        <v>19980608</v>
      </c>
      <c r="F12" s="2" t="str">
        <f>"25"</f>
        <v>25</v>
      </c>
      <c r="G12" s="2" t="str">
        <f t="shared" si="0"/>
        <v>E78660</v>
      </c>
      <c r="H12" s="2" t="str">
        <f t="shared" si="1"/>
        <v>가톨릭대학교 서울성모병원</v>
      </c>
      <c r="I12" s="2" t="str">
        <f>"배치후"</f>
        <v>배치후</v>
      </c>
    </row>
    <row r="13" spans="1:9" x14ac:dyDescent="0.3">
      <c r="A13" s="2" t="str">
        <f t="shared" si="2"/>
        <v>20240117</v>
      </c>
      <c r="B13" s="2" t="str">
        <f>"38819722"</f>
        <v>38819722</v>
      </c>
      <c r="C13" s="2" t="str">
        <f>"조상현"</f>
        <v>조상현</v>
      </c>
      <c r="D13" s="2" t="str">
        <f>"M"</f>
        <v>M</v>
      </c>
      <c r="E13" s="2" t="str">
        <f>"19960907"</f>
        <v>19960907</v>
      </c>
      <c r="F13" s="2" t="str">
        <f>"27"</f>
        <v>27</v>
      </c>
      <c r="G13" s="2" t="str">
        <f t="shared" si="0"/>
        <v>E78660</v>
      </c>
      <c r="H13" s="2" t="str">
        <f t="shared" si="1"/>
        <v>가톨릭대학교 서울성모병원</v>
      </c>
      <c r="I13" s="2" t="str">
        <f>"배치후"</f>
        <v>배치후</v>
      </c>
    </row>
    <row r="14" spans="1:9" x14ac:dyDescent="0.3">
      <c r="A14" s="2" t="str">
        <f t="shared" si="2"/>
        <v>20240117</v>
      </c>
      <c r="B14" s="2" t="str">
        <f>"39231500"</f>
        <v>39231500</v>
      </c>
      <c r="C14" s="2" t="str">
        <f>"최대혁"</f>
        <v>최대혁</v>
      </c>
      <c r="D14" s="2" t="str">
        <f>"M"</f>
        <v>M</v>
      </c>
      <c r="E14" s="2" t="str">
        <f>"19980309"</f>
        <v>19980309</v>
      </c>
      <c r="F14" s="2" t="str">
        <f>"25"</f>
        <v>25</v>
      </c>
      <c r="G14" s="2" t="str">
        <f t="shared" si="0"/>
        <v>E78660</v>
      </c>
      <c r="H14" s="2" t="str">
        <f t="shared" si="1"/>
        <v>가톨릭대학교 서울성모병원</v>
      </c>
      <c r="I14" s="2" t="str">
        <f>"배치전"</f>
        <v>배치전</v>
      </c>
    </row>
    <row r="15" spans="1:9" x14ac:dyDescent="0.3">
      <c r="A15" s="2" t="str">
        <f t="shared" si="2"/>
        <v>20240117</v>
      </c>
      <c r="B15" s="2" t="str">
        <f>"39231805"</f>
        <v>39231805</v>
      </c>
      <c r="C15" s="2" t="str">
        <f>"박소영"</f>
        <v>박소영</v>
      </c>
      <c r="D15" s="2" t="str">
        <f t="shared" ref="D15:D22" si="3">"F"</f>
        <v>F</v>
      </c>
      <c r="E15" s="2" t="str">
        <f>"20000213"</f>
        <v>20000213</v>
      </c>
      <c r="F15" s="2" t="str">
        <f>"23"</f>
        <v>23</v>
      </c>
      <c r="G15" s="2" t="str">
        <f t="shared" si="0"/>
        <v>E78660</v>
      </c>
      <c r="H15" s="2" t="str">
        <f t="shared" si="1"/>
        <v>가톨릭대학교 서울성모병원</v>
      </c>
      <c r="I15" s="2" t="str">
        <f>"배치전"</f>
        <v>배치전</v>
      </c>
    </row>
    <row r="16" spans="1:9" x14ac:dyDescent="0.3">
      <c r="A16" s="2" t="str">
        <f t="shared" si="2"/>
        <v>20240117</v>
      </c>
      <c r="B16" s="2" t="str">
        <f>"39378781"</f>
        <v>39378781</v>
      </c>
      <c r="C16" s="2" t="str">
        <f>"박수옥"</f>
        <v>박수옥</v>
      </c>
      <c r="D16" s="2" t="str">
        <f t="shared" si="3"/>
        <v>F</v>
      </c>
      <c r="E16" s="2" t="str">
        <f>"19690814"</f>
        <v>19690814</v>
      </c>
      <c r="F16" s="2" t="str">
        <f>"54"</f>
        <v>54</v>
      </c>
      <c r="G16" s="2" t="str">
        <f t="shared" si="0"/>
        <v>E78660</v>
      </c>
      <c r="H16" s="2" t="str">
        <f t="shared" si="1"/>
        <v>가톨릭대학교 서울성모병원</v>
      </c>
      <c r="I16" s="2" t="str">
        <f>"배치전"</f>
        <v>배치전</v>
      </c>
    </row>
    <row r="17" spans="1:9" x14ac:dyDescent="0.3">
      <c r="A17" s="2" t="str">
        <f t="shared" si="2"/>
        <v>20240117</v>
      </c>
      <c r="B17" s="2" t="str">
        <f>"39535742"</f>
        <v>39535742</v>
      </c>
      <c r="C17" s="2" t="str">
        <f>"노혜진"</f>
        <v>노혜진</v>
      </c>
      <c r="D17" s="2" t="str">
        <f t="shared" si="3"/>
        <v>F</v>
      </c>
      <c r="E17" s="2" t="str">
        <f>"19970226"</f>
        <v>19970226</v>
      </c>
      <c r="F17" s="2" t="str">
        <f>"26"</f>
        <v>26</v>
      </c>
      <c r="G17" s="2" t="str">
        <f t="shared" si="0"/>
        <v>E78660</v>
      </c>
      <c r="H17" s="2" t="str">
        <f t="shared" si="1"/>
        <v>가톨릭대학교 서울성모병원</v>
      </c>
      <c r="I17" s="2" t="str">
        <f>"배치전"</f>
        <v>배치전</v>
      </c>
    </row>
    <row r="18" spans="1:9" x14ac:dyDescent="0.3">
      <c r="A18" s="2" t="str">
        <f>"20240130"</f>
        <v>20240130</v>
      </c>
      <c r="B18" s="2" t="str">
        <f>"38512392"</f>
        <v>38512392</v>
      </c>
      <c r="C18" s="2" t="str">
        <f>"남윤지"</f>
        <v>남윤지</v>
      </c>
      <c r="D18" s="2" t="str">
        <f t="shared" si="3"/>
        <v>F</v>
      </c>
      <c r="E18" s="2" t="str">
        <f>"19991011"</f>
        <v>19991011</v>
      </c>
      <c r="F18" s="2" t="str">
        <f>"24"</f>
        <v>24</v>
      </c>
      <c r="G18" s="2" t="str">
        <f t="shared" si="0"/>
        <v>E78660</v>
      </c>
      <c r="H18" s="2" t="str">
        <f t="shared" si="1"/>
        <v>가톨릭대학교 서울성모병원</v>
      </c>
      <c r="I18" s="2" t="str">
        <f>"배치후"</f>
        <v>배치후</v>
      </c>
    </row>
    <row r="19" spans="1:9" x14ac:dyDescent="0.3">
      <c r="A19" s="2" t="str">
        <f>"20240130"</f>
        <v>20240130</v>
      </c>
      <c r="B19" s="2" t="str">
        <f>"38512436"</f>
        <v>38512436</v>
      </c>
      <c r="C19" s="2" t="str">
        <f>"이수빈"</f>
        <v>이수빈</v>
      </c>
      <c r="D19" s="2" t="str">
        <f t="shared" si="3"/>
        <v>F</v>
      </c>
      <c r="E19" s="2" t="str">
        <f>"19990327"</f>
        <v>19990327</v>
      </c>
      <c r="F19" s="2" t="str">
        <f>"24"</f>
        <v>24</v>
      </c>
      <c r="G19" s="2" t="str">
        <f t="shared" si="0"/>
        <v>E78660</v>
      </c>
      <c r="H19" s="2" t="str">
        <f t="shared" si="1"/>
        <v>가톨릭대학교 서울성모병원</v>
      </c>
      <c r="I19" s="2" t="str">
        <f>"배치후"</f>
        <v>배치후</v>
      </c>
    </row>
    <row r="20" spans="1:9" x14ac:dyDescent="0.3">
      <c r="A20" s="2" t="str">
        <f>"20240130"</f>
        <v>20240130</v>
      </c>
      <c r="B20" s="2" t="str">
        <f>"38529711"</f>
        <v>38529711</v>
      </c>
      <c r="C20" s="2" t="str">
        <f>"이가은"</f>
        <v>이가은</v>
      </c>
      <c r="D20" s="2" t="str">
        <f t="shared" si="3"/>
        <v>F</v>
      </c>
      <c r="E20" s="2" t="str">
        <f>"20001228"</f>
        <v>20001228</v>
      </c>
      <c r="F20" s="2" t="str">
        <f>"23"</f>
        <v>23</v>
      </c>
      <c r="G20" s="2" t="str">
        <f t="shared" si="0"/>
        <v>E78660</v>
      </c>
      <c r="H20" s="2" t="str">
        <f t="shared" si="1"/>
        <v>가톨릭대학교 서울성모병원</v>
      </c>
      <c r="I20" s="2" t="str">
        <f>"배치후"</f>
        <v>배치후</v>
      </c>
    </row>
    <row r="21" spans="1:9" x14ac:dyDescent="0.3">
      <c r="A21" s="2" t="str">
        <f>"20240130"</f>
        <v>20240130</v>
      </c>
      <c r="B21" s="2" t="str">
        <f>"38529744"</f>
        <v>38529744</v>
      </c>
      <c r="C21" s="2" t="str">
        <f>"유연서"</f>
        <v>유연서</v>
      </c>
      <c r="D21" s="2" t="str">
        <f t="shared" si="3"/>
        <v>F</v>
      </c>
      <c r="E21" s="2" t="str">
        <f>"20001024"</f>
        <v>20001024</v>
      </c>
      <c r="F21" s="2" t="str">
        <f>"23"</f>
        <v>23</v>
      </c>
      <c r="G21" s="2" t="str">
        <f t="shared" si="0"/>
        <v>E78660</v>
      </c>
      <c r="H21" s="2" t="str">
        <f t="shared" si="1"/>
        <v>가톨릭대학교 서울성모병원</v>
      </c>
      <c r="I21" s="2" t="str">
        <f>"배치후"</f>
        <v>배치후</v>
      </c>
    </row>
    <row r="22" spans="1:9" x14ac:dyDescent="0.3">
      <c r="A22" s="2" t="str">
        <f t="shared" ref="A22:A28" si="4">"20240131"</f>
        <v>20240131</v>
      </c>
      <c r="B22" s="2" t="str">
        <f>"21048901"</f>
        <v>21048901</v>
      </c>
      <c r="C22" s="2" t="str">
        <f>"장명선"</f>
        <v>장명선</v>
      </c>
      <c r="D22" s="2" t="str">
        <f t="shared" si="3"/>
        <v>F</v>
      </c>
      <c r="E22" s="2" t="str">
        <f>"19901113"</f>
        <v>19901113</v>
      </c>
      <c r="F22" s="2" t="str">
        <f>"33"</f>
        <v>33</v>
      </c>
      <c r="G22" s="2" t="str">
        <f t="shared" si="0"/>
        <v>E78660</v>
      </c>
      <c r="H22" s="2" t="str">
        <f t="shared" si="1"/>
        <v>가톨릭대학교 서울성모병원</v>
      </c>
      <c r="I22" s="2" t="str">
        <f>"배치전"</f>
        <v>배치전</v>
      </c>
    </row>
    <row r="23" spans="1:9" x14ac:dyDescent="0.3">
      <c r="A23" s="2" t="str">
        <f t="shared" si="4"/>
        <v>20240131</v>
      </c>
      <c r="B23" s="2" t="str">
        <f>"35241643"</f>
        <v>35241643</v>
      </c>
      <c r="C23" s="2" t="str">
        <f>"이민우"</f>
        <v>이민우</v>
      </c>
      <c r="D23" s="2" t="str">
        <f>"M"</f>
        <v>M</v>
      </c>
      <c r="E23" s="2" t="str">
        <f>"19940125"</f>
        <v>19940125</v>
      </c>
      <c r="F23" s="2" t="str">
        <f>"30"</f>
        <v>30</v>
      </c>
      <c r="G23" s="2" t="str">
        <f t="shared" si="0"/>
        <v>E78660</v>
      </c>
      <c r="H23" s="2" t="str">
        <f t="shared" si="1"/>
        <v>가톨릭대학교 서울성모병원</v>
      </c>
      <c r="I23" s="2" t="str">
        <f>"배치전"</f>
        <v>배치전</v>
      </c>
    </row>
    <row r="24" spans="1:9" x14ac:dyDescent="0.3">
      <c r="A24" s="2" t="str">
        <f t="shared" si="4"/>
        <v>20240131</v>
      </c>
      <c r="B24" s="2" t="str">
        <f>"35624024"</f>
        <v>35624024</v>
      </c>
      <c r="C24" s="2" t="str">
        <f>"정지훈"</f>
        <v>정지훈</v>
      </c>
      <c r="D24" s="2" t="str">
        <f>"M"</f>
        <v>M</v>
      </c>
      <c r="E24" s="2" t="str">
        <f>"19920305"</f>
        <v>19920305</v>
      </c>
      <c r="F24" s="2" t="str">
        <f>"31"</f>
        <v>31</v>
      </c>
      <c r="G24" s="2" t="str">
        <f t="shared" si="0"/>
        <v>E78660</v>
      </c>
      <c r="H24" s="2" t="str">
        <f t="shared" si="1"/>
        <v>가톨릭대학교 서울성모병원</v>
      </c>
      <c r="I24" s="2" t="str">
        <f>"배치전"</f>
        <v>배치전</v>
      </c>
    </row>
    <row r="25" spans="1:9" x14ac:dyDescent="0.3">
      <c r="A25" s="2" t="str">
        <f t="shared" si="4"/>
        <v>20240131</v>
      </c>
      <c r="B25" s="2" t="str">
        <f>"38512592"</f>
        <v>38512592</v>
      </c>
      <c r="C25" s="2" t="str">
        <f>"송승미"</f>
        <v>송승미</v>
      </c>
      <c r="D25" s="2" t="str">
        <f t="shared" ref="D25:D34" si="5">"F"</f>
        <v>F</v>
      </c>
      <c r="E25" s="2" t="str">
        <f>"20000423"</f>
        <v>20000423</v>
      </c>
      <c r="F25" s="2" t="str">
        <f>"23"</f>
        <v>23</v>
      </c>
      <c r="G25" s="2" t="str">
        <f t="shared" si="0"/>
        <v>E78660</v>
      </c>
      <c r="H25" s="2" t="str">
        <f t="shared" si="1"/>
        <v>가톨릭대학교 서울성모병원</v>
      </c>
      <c r="I25" s="2" t="str">
        <f>"배치후"</f>
        <v>배치후</v>
      </c>
    </row>
    <row r="26" spans="1:9" x14ac:dyDescent="0.3">
      <c r="A26" s="2" t="str">
        <f t="shared" si="4"/>
        <v>20240131</v>
      </c>
      <c r="B26" s="2" t="str">
        <f>"38529722"</f>
        <v>38529722</v>
      </c>
      <c r="C26" s="2" t="str">
        <f>"송승민"</f>
        <v>송승민</v>
      </c>
      <c r="D26" s="2" t="str">
        <f t="shared" si="5"/>
        <v>F</v>
      </c>
      <c r="E26" s="2" t="str">
        <f>"20001005"</f>
        <v>20001005</v>
      </c>
      <c r="F26" s="2" t="str">
        <f>"23"</f>
        <v>23</v>
      </c>
      <c r="G26" s="2" t="str">
        <f t="shared" si="0"/>
        <v>E78660</v>
      </c>
      <c r="H26" s="2" t="str">
        <f t="shared" si="1"/>
        <v>가톨릭대학교 서울성모병원</v>
      </c>
      <c r="I26" s="2" t="str">
        <f>"배치후"</f>
        <v>배치후</v>
      </c>
    </row>
    <row r="27" spans="1:9" x14ac:dyDescent="0.3">
      <c r="A27" s="2" t="str">
        <f t="shared" si="4"/>
        <v>20240131</v>
      </c>
      <c r="B27" s="2" t="str">
        <f>"39231770"</f>
        <v>39231770</v>
      </c>
      <c r="C27" s="2" t="str">
        <f>"최해솔"</f>
        <v>최해솔</v>
      </c>
      <c r="D27" s="2" t="str">
        <f t="shared" si="5"/>
        <v>F</v>
      </c>
      <c r="E27" s="2" t="str">
        <f>"20000526"</f>
        <v>20000526</v>
      </c>
      <c r="F27" s="2" t="str">
        <f>"23"</f>
        <v>23</v>
      </c>
      <c r="G27" s="2" t="str">
        <f t="shared" si="0"/>
        <v>E78660</v>
      </c>
      <c r="H27" s="2" t="str">
        <f t="shared" si="1"/>
        <v>가톨릭대학교 서울성모병원</v>
      </c>
      <c r="I27" s="2" t="str">
        <f>"배치전"</f>
        <v>배치전</v>
      </c>
    </row>
    <row r="28" spans="1:9" x14ac:dyDescent="0.3">
      <c r="A28" s="2" t="str">
        <f t="shared" si="4"/>
        <v>20240131</v>
      </c>
      <c r="B28" s="2" t="str">
        <f>"39480323"</f>
        <v>39480323</v>
      </c>
      <c r="C28" s="2" t="str">
        <f>"이가은"</f>
        <v>이가은</v>
      </c>
      <c r="D28" s="2" t="str">
        <f t="shared" si="5"/>
        <v>F</v>
      </c>
      <c r="E28" s="2" t="str">
        <f>"19950305"</f>
        <v>19950305</v>
      </c>
      <c r="F28" s="2" t="str">
        <f>"28"</f>
        <v>28</v>
      </c>
      <c r="G28" s="2" t="str">
        <f t="shared" si="0"/>
        <v>E78660</v>
      </c>
      <c r="H28" s="2" t="str">
        <f t="shared" si="1"/>
        <v>가톨릭대학교 서울성모병원</v>
      </c>
      <c r="I28" s="2" t="str">
        <f>"배치전"</f>
        <v>배치전</v>
      </c>
    </row>
    <row r="29" spans="1:9" x14ac:dyDescent="0.3">
      <c r="A29" s="2" t="str">
        <f>"20240220"</f>
        <v>20240220</v>
      </c>
      <c r="B29" s="2" t="str">
        <f>"19392460"</f>
        <v>19392460</v>
      </c>
      <c r="C29" s="2" t="str">
        <f>"유혜린"</f>
        <v>유혜린</v>
      </c>
      <c r="D29" s="2" t="str">
        <f t="shared" si="5"/>
        <v>F</v>
      </c>
      <c r="E29" s="2" t="str">
        <f>"19851206"</f>
        <v>19851206</v>
      </c>
      <c r="F29" s="2" t="str">
        <f>"38"</f>
        <v>38</v>
      </c>
      <c r="G29" s="2" t="str">
        <f t="shared" si="0"/>
        <v>E78660</v>
      </c>
      <c r="H29" s="2" t="str">
        <f t="shared" si="1"/>
        <v>가톨릭대학교 서울성모병원</v>
      </c>
      <c r="I29" s="2" t="str">
        <f>"배치전"</f>
        <v>배치전</v>
      </c>
    </row>
    <row r="30" spans="1:9" x14ac:dyDescent="0.3">
      <c r="A30" s="2" t="str">
        <f>"20240220"</f>
        <v>20240220</v>
      </c>
      <c r="B30" s="2" t="str">
        <f>"38687281"</f>
        <v>38687281</v>
      </c>
      <c r="C30" s="2" t="str">
        <f>"김지연"</f>
        <v>김지연</v>
      </c>
      <c r="D30" s="2" t="str">
        <f t="shared" si="5"/>
        <v>F</v>
      </c>
      <c r="E30" s="2" t="str">
        <f>"19950324"</f>
        <v>19950324</v>
      </c>
      <c r="F30" s="2" t="str">
        <f>"28"</f>
        <v>28</v>
      </c>
      <c r="G30" s="2" t="str">
        <f t="shared" si="0"/>
        <v>E78660</v>
      </c>
      <c r="H30" s="2" t="str">
        <f t="shared" si="1"/>
        <v>가톨릭대학교 서울성모병원</v>
      </c>
      <c r="I30" s="2" t="str">
        <f>"배치전"</f>
        <v>배치전</v>
      </c>
    </row>
    <row r="31" spans="1:9" x14ac:dyDescent="0.3">
      <c r="A31" s="2" t="str">
        <f>"20240220"</f>
        <v>20240220</v>
      </c>
      <c r="B31" s="2" t="str">
        <f>"38703604"</f>
        <v>38703604</v>
      </c>
      <c r="C31" s="2" t="str">
        <f>"김솔"</f>
        <v>김솔</v>
      </c>
      <c r="D31" s="2" t="str">
        <f t="shared" si="5"/>
        <v>F</v>
      </c>
      <c r="E31" s="2" t="str">
        <f>"19991020"</f>
        <v>19991020</v>
      </c>
      <c r="F31" s="2" t="str">
        <f>"24"</f>
        <v>24</v>
      </c>
      <c r="G31" s="2" t="str">
        <f t="shared" si="0"/>
        <v>E78660</v>
      </c>
      <c r="H31" s="2" t="str">
        <f t="shared" si="1"/>
        <v>가톨릭대학교 서울성모병원</v>
      </c>
      <c r="I31" s="2" t="str">
        <f>"배치후"</f>
        <v>배치후</v>
      </c>
    </row>
    <row r="32" spans="1:9" x14ac:dyDescent="0.3">
      <c r="A32" s="2" t="str">
        <f t="shared" ref="A32:A39" si="6">"20240221"</f>
        <v>20240221</v>
      </c>
      <c r="B32" s="2" t="str">
        <f>"21429122"</f>
        <v>21429122</v>
      </c>
      <c r="C32" s="2" t="str">
        <f>"이유리"</f>
        <v>이유리</v>
      </c>
      <c r="D32" s="2" t="str">
        <f t="shared" si="5"/>
        <v>F</v>
      </c>
      <c r="E32" s="2" t="str">
        <f>"19850202"</f>
        <v>19850202</v>
      </c>
      <c r="F32" s="2" t="str">
        <f>"39"</f>
        <v>39</v>
      </c>
      <c r="G32" s="2" t="str">
        <f t="shared" si="0"/>
        <v>E78660</v>
      </c>
      <c r="H32" s="2" t="str">
        <f t="shared" si="1"/>
        <v>가톨릭대학교 서울성모병원</v>
      </c>
      <c r="I32" s="2" t="str">
        <f>"배치전"</f>
        <v>배치전</v>
      </c>
    </row>
    <row r="33" spans="1:9" x14ac:dyDescent="0.3">
      <c r="A33" s="2" t="str">
        <f t="shared" si="6"/>
        <v>20240221</v>
      </c>
      <c r="B33" s="2" t="str">
        <f>"38348841"</f>
        <v>38348841</v>
      </c>
      <c r="C33" s="2" t="str">
        <f>"이재아"</f>
        <v>이재아</v>
      </c>
      <c r="D33" s="2" t="str">
        <f t="shared" si="5"/>
        <v>F</v>
      </c>
      <c r="E33" s="2" t="str">
        <f>"19951124"</f>
        <v>19951124</v>
      </c>
      <c r="F33" s="2" t="str">
        <f>"28"</f>
        <v>28</v>
      </c>
      <c r="G33" s="2" t="str">
        <f t="shared" si="0"/>
        <v>E78660</v>
      </c>
      <c r="H33" s="2" t="str">
        <f t="shared" si="1"/>
        <v>가톨릭대학교 서울성모병원</v>
      </c>
      <c r="I33" s="2" t="str">
        <f>"배치전"</f>
        <v>배치전</v>
      </c>
    </row>
    <row r="34" spans="1:9" x14ac:dyDescent="0.3">
      <c r="A34" s="2" t="str">
        <f t="shared" si="6"/>
        <v>20240221</v>
      </c>
      <c r="B34" s="2" t="str">
        <f>"38912091"</f>
        <v>38912091</v>
      </c>
      <c r="C34" s="2" t="str">
        <f>"김민지"</f>
        <v>김민지</v>
      </c>
      <c r="D34" s="2" t="str">
        <f t="shared" si="5"/>
        <v>F</v>
      </c>
      <c r="E34" s="2" t="str">
        <f>"19970813"</f>
        <v>19970813</v>
      </c>
      <c r="F34" s="2" t="str">
        <f>"26"</f>
        <v>26</v>
      </c>
      <c r="G34" s="2" t="str">
        <f t="shared" si="0"/>
        <v>E78660</v>
      </c>
      <c r="H34" s="2" t="str">
        <f t="shared" si="1"/>
        <v>가톨릭대학교 서울성모병원</v>
      </c>
      <c r="I34" s="2" t="str">
        <f>"배치후"</f>
        <v>배치후</v>
      </c>
    </row>
    <row r="35" spans="1:9" x14ac:dyDescent="0.3">
      <c r="A35" s="2" t="str">
        <f t="shared" si="6"/>
        <v>20240221</v>
      </c>
      <c r="B35" s="2" t="str">
        <f>"39467551"</f>
        <v>39467551</v>
      </c>
      <c r="C35" s="2" t="str">
        <f>"유이창"</f>
        <v>유이창</v>
      </c>
      <c r="D35" s="2" t="str">
        <f>"M"</f>
        <v>M</v>
      </c>
      <c r="E35" s="2" t="str">
        <f>"19980813"</f>
        <v>19980813</v>
      </c>
      <c r="F35" s="2" t="str">
        <f>"25"</f>
        <v>25</v>
      </c>
      <c r="G35" s="2" t="str">
        <f t="shared" si="0"/>
        <v>E78660</v>
      </c>
      <c r="H35" s="2" t="str">
        <f t="shared" si="1"/>
        <v>가톨릭대학교 서울성모병원</v>
      </c>
      <c r="I35" s="2" t="str">
        <f t="shared" ref="I35:I40" si="7">"배치전"</f>
        <v>배치전</v>
      </c>
    </row>
    <row r="36" spans="1:9" x14ac:dyDescent="0.3">
      <c r="A36" s="2" t="str">
        <f t="shared" si="6"/>
        <v>20240221</v>
      </c>
      <c r="B36" s="2" t="str">
        <f>"39578982"</f>
        <v>39578982</v>
      </c>
      <c r="C36" s="2" t="str">
        <f>"서혜정"</f>
        <v>서혜정</v>
      </c>
      <c r="D36" s="2" t="str">
        <f>"F"</f>
        <v>F</v>
      </c>
      <c r="E36" s="2" t="str">
        <f>"19991201"</f>
        <v>19991201</v>
      </c>
      <c r="F36" s="2" t="str">
        <f>"24"</f>
        <v>24</v>
      </c>
      <c r="G36" s="2" t="str">
        <f t="shared" si="0"/>
        <v>E78660</v>
      </c>
      <c r="H36" s="2" t="str">
        <f t="shared" si="1"/>
        <v>가톨릭대학교 서울성모병원</v>
      </c>
      <c r="I36" s="2" t="str">
        <f t="shared" si="7"/>
        <v>배치전</v>
      </c>
    </row>
    <row r="37" spans="1:9" x14ac:dyDescent="0.3">
      <c r="A37" s="2" t="str">
        <f t="shared" si="6"/>
        <v>20240221</v>
      </c>
      <c r="B37" s="2" t="str">
        <f>"39579034"</f>
        <v>39579034</v>
      </c>
      <c r="C37" s="2" t="str">
        <f>"이지원"</f>
        <v>이지원</v>
      </c>
      <c r="D37" s="2" t="str">
        <f>"F"</f>
        <v>F</v>
      </c>
      <c r="E37" s="2" t="str">
        <f>"19970317"</f>
        <v>19970317</v>
      </c>
      <c r="F37" s="2" t="str">
        <f>"26"</f>
        <v>26</v>
      </c>
      <c r="G37" s="2" t="str">
        <f t="shared" si="0"/>
        <v>E78660</v>
      </c>
      <c r="H37" s="2" t="str">
        <f t="shared" si="1"/>
        <v>가톨릭대학교 서울성모병원</v>
      </c>
      <c r="I37" s="2" t="str">
        <f t="shared" si="7"/>
        <v>배치전</v>
      </c>
    </row>
    <row r="38" spans="1:9" x14ac:dyDescent="0.3">
      <c r="A38" s="2" t="str">
        <f t="shared" si="6"/>
        <v>20240221</v>
      </c>
      <c r="B38" s="2" t="str">
        <f>"39591004"</f>
        <v>39591004</v>
      </c>
      <c r="C38" s="2" t="str">
        <f>"임호진"</f>
        <v>임호진</v>
      </c>
      <c r="D38" s="2" t="str">
        <f>"M"</f>
        <v>M</v>
      </c>
      <c r="E38" s="2" t="str">
        <f>"19981214"</f>
        <v>19981214</v>
      </c>
      <c r="F38" s="2" t="str">
        <f>"25"</f>
        <v>25</v>
      </c>
      <c r="G38" s="2" t="str">
        <f t="shared" si="0"/>
        <v>E78660</v>
      </c>
      <c r="H38" s="2" t="str">
        <f t="shared" si="1"/>
        <v>가톨릭대학교 서울성모병원</v>
      </c>
      <c r="I38" s="2" t="str">
        <f t="shared" si="7"/>
        <v>배치전</v>
      </c>
    </row>
    <row r="39" spans="1:9" x14ac:dyDescent="0.3">
      <c r="A39" s="2" t="str">
        <f t="shared" si="6"/>
        <v>20240221</v>
      </c>
      <c r="B39" s="2" t="str">
        <f>"39598776"</f>
        <v>39598776</v>
      </c>
      <c r="C39" s="2" t="str">
        <f>"문지훈"</f>
        <v>문지훈</v>
      </c>
      <c r="D39" s="2" t="str">
        <f>"M"</f>
        <v>M</v>
      </c>
      <c r="E39" s="2" t="str">
        <f>"19951012"</f>
        <v>19951012</v>
      </c>
      <c r="F39" s="2" t="str">
        <f>"28"</f>
        <v>28</v>
      </c>
      <c r="G39" s="2" t="str">
        <f t="shared" si="0"/>
        <v>E78660</v>
      </c>
      <c r="H39" s="2" t="str">
        <f t="shared" si="1"/>
        <v>가톨릭대학교 서울성모병원</v>
      </c>
      <c r="I39" s="2" t="str">
        <f t="shared" si="7"/>
        <v>배치전</v>
      </c>
    </row>
    <row r="40" spans="1:9" x14ac:dyDescent="0.3">
      <c r="A40" s="2" t="str">
        <f>"20240227"</f>
        <v>20240227</v>
      </c>
      <c r="B40" s="2" t="str">
        <f>"23066121"</f>
        <v>23066121</v>
      </c>
      <c r="C40" s="2" t="str">
        <f>"이하늬"</f>
        <v>이하늬</v>
      </c>
      <c r="D40" s="2" t="str">
        <f>"F"</f>
        <v>F</v>
      </c>
      <c r="E40" s="2" t="str">
        <f>"19880801"</f>
        <v>19880801</v>
      </c>
      <c r="F40" s="2" t="str">
        <f>"35"</f>
        <v>35</v>
      </c>
      <c r="G40" s="2" t="str">
        <f t="shared" si="0"/>
        <v>E78660</v>
      </c>
      <c r="H40" s="2" t="str">
        <f t="shared" si="1"/>
        <v>가톨릭대학교 서울성모병원</v>
      </c>
      <c r="I40" s="2" t="str">
        <f t="shared" si="7"/>
        <v>배치전</v>
      </c>
    </row>
    <row r="41" spans="1:9" x14ac:dyDescent="0.3">
      <c r="A41" s="2" t="str">
        <f>"20240227"</f>
        <v>20240227</v>
      </c>
      <c r="B41" s="2" t="str">
        <f>"27941484"</f>
        <v>27941484</v>
      </c>
      <c r="C41" s="2" t="str">
        <f>"임은수"</f>
        <v>임은수</v>
      </c>
      <c r="D41" s="2" t="str">
        <f>"F"</f>
        <v>F</v>
      </c>
      <c r="E41" s="2" t="str">
        <f>"19900712"</f>
        <v>19900712</v>
      </c>
      <c r="F41" s="2" t="str">
        <f>"33"</f>
        <v>33</v>
      </c>
      <c r="G41" s="2" t="str">
        <f t="shared" si="0"/>
        <v>E78660</v>
      </c>
      <c r="H41" s="2" t="str">
        <f t="shared" si="1"/>
        <v>가톨릭대학교 서울성모병원</v>
      </c>
      <c r="I41" s="2" t="str">
        <f>"배치후"</f>
        <v>배치후</v>
      </c>
    </row>
    <row r="42" spans="1:9" x14ac:dyDescent="0.3">
      <c r="A42" s="2" t="str">
        <f>"20240227"</f>
        <v>20240227</v>
      </c>
      <c r="B42" s="2" t="str">
        <f>"30775172"</f>
        <v>30775172</v>
      </c>
      <c r="C42" s="2" t="str">
        <f>"김효숙"</f>
        <v>김효숙</v>
      </c>
      <c r="D42" s="2" t="str">
        <f>"F"</f>
        <v>F</v>
      </c>
      <c r="E42" s="2" t="str">
        <f>"19750701"</f>
        <v>19750701</v>
      </c>
      <c r="F42" s="2" t="str">
        <f>"48"</f>
        <v>48</v>
      </c>
      <c r="G42" s="2" t="str">
        <f t="shared" si="0"/>
        <v>E78660</v>
      </c>
      <c r="H42" s="2" t="str">
        <f t="shared" si="1"/>
        <v>가톨릭대학교 서울성모병원</v>
      </c>
      <c r="I42" s="2" t="str">
        <f>"배치후"</f>
        <v>배치후</v>
      </c>
    </row>
    <row r="43" spans="1:9" x14ac:dyDescent="0.3">
      <c r="A43" s="2" t="str">
        <f>"20240227"</f>
        <v>20240227</v>
      </c>
      <c r="B43" s="2" t="str">
        <f>"38915912"</f>
        <v>38915912</v>
      </c>
      <c r="C43" s="2" t="str">
        <f>"박상인"</f>
        <v>박상인</v>
      </c>
      <c r="D43" s="2" t="str">
        <f>"M"</f>
        <v>M</v>
      </c>
      <c r="E43" s="2" t="str">
        <f>"19951012"</f>
        <v>19951012</v>
      </c>
      <c r="F43" s="2" t="str">
        <f>"28"</f>
        <v>28</v>
      </c>
      <c r="G43" s="2" t="str">
        <f t="shared" si="0"/>
        <v>E78660</v>
      </c>
      <c r="H43" s="2" t="str">
        <f t="shared" si="1"/>
        <v>가톨릭대학교 서울성모병원</v>
      </c>
      <c r="I43" s="2" t="str">
        <f>"배치후"</f>
        <v>배치후</v>
      </c>
    </row>
    <row r="44" spans="1:9" x14ac:dyDescent="0.3">
      <c r="A44" s="2" t="str">
        <f>"20240227"</f>
        <v>20240227</v>
      </c>
      <c r="B44" s="2" t="str">
        <f>"39283211"</f>
        <v>39283211</v>
      </c>
      <c r="C44" s="2" t="str">
        <f>"양금주"</f>
        <v>양금주</v>
      </c>
      <c r="D44" s="2" t="str">
        <f t="shared" ref="D44:D59" si="8">"F"</f>
        <v>F</v>
      </c>
      <c r="E44" s="2" t="str">
        <f>"20000908"</f>
        <v>20000908</v>
      </c>
      <c r="F44" s="2" t="str">
        <f>"23"</f>
        <v>23</v>
      </c>
      <c r="G44" s="2" t="str">
        <f t="shared" si="0"/>
        <v>E78660</v>
      </c>
      <c r="H44" s="2" t="str">
        <f t="shared" si="1"/>
        <v>가톨릭대학교 서울성모병원</v>
      </c>
      <c r="I44" s="2" t="str">
        <f>"배치전"</f>
        <v>배치전</v>
      </c>
    </row>
    <row r="45" spans="1:9" x14ac:dyDescent="0.3">
      <c r="A45" s="2" t="str">
        <f t="shared" ref="A45:A56" si="9">"20240228"</f>
        <v>20240228</v>
      </c>
      <c r="B45" s="2" t="str">
        <f>"10075346"</f>
        <v>10075346</v>
      </c>
      <c r="C45" s="2" t="str">
        <f>"김주연"</f>
        <v>김주연</v>
      </c>
      <c r="D45" s="2" t="str">
        <f t="shared" si="8"/>
        <v>F</v>
      </c>
      <c r="E45" s="2" t="str">
        <f>"19750616"</f>
        <v>19750616</v>
      </c>
      <c r="F45" s="2" t="str">
        <f>"48"</f>
        <v>48</v>
      </c>
      <c r="G45" s="2" t="str">
        <f t="shared" si="0"/>
        <v>E78660</v>
      </c>
      <c r="H45" s="2" t="str">
        <f t="shared" si="1"/>
        <v>가톨릭대학교 서울성모병원</v>
      </c>
      <c r="I45" s="2" t="str">
        <f>"배치전"</f>
        <v>배치전</v>
      </c>
    </row>
    <row r="46" spans="1:9" x14ac:dyDescent="0.3">
      <c r="A46" s="2" t="str">
        <f t="shared" si="9"/>
        <v>20240228</v>
      </c>
      <c r="B46" s="2" t="str">
        <f>"14539980"</f>
        <v>14539980</v>
      </c>
      <c r="C46" s="2" t="str">
        <f>"이은주"</f>
        <v>이은주</v>
      </c>
      <c r="D46" s="2" t="str">
        <f t="shared" si="8"/>
        <v>F</v>
      </c>
      <c r="E46" s="2" t="str">
        <f>"19801020"</f>
        <v>19801020</v>
      </c>
      <c r="F46" s="2" t="str">
        <f>"43"</f>
        <v>43</v>
      </c>
      <c r="G46" s="2" t="str">
        <f t="shared" si="0"/>
        <v>E78660</v>
      </c>
      <c r="H46" s="2" t="str">
        <f t="shared" si="1"/>
        <v>가톨릭대학교 서울성모병원</v>
      </c>
      <c r="I46" s="2" t="str">
        <f>"배치후"</f>
        <v>배치후</v>
      </c>
    </row>
    <row r="47" spans="1:9" x14ac:dyDescent="0.3">
      <c r="A47" s="2" t="str">
        <f t="shared" si="9"/>
        <v>20240228</v>
      </c>
      <c r="B47" s="2" t="str">
        <f>"17576093"</f>
        <v>17576093</v>
      </c>
      <c r="C47" s="2" t="str">
        <f>"구보연"</f>
        <v>구보연</v>
      </c>
      <c r="D47" s="2" t="str">
        <f t="shared" si="8"/>
        <v>F</v>
      </c>
      <c r="E47" s="2" t="str">
        <f>"19860324"</f>
        <v>19860324</v>
      </c>
      <c r="F47" s="2" t="str">
        <f>"37"</f>
        <v>37</v>
      </c>
      <c r="G47" s="2" t="str">
        <f t="shared" si="0"/>
        <v>E78660</v>
      </c>
      <c r="H47" s="2" t="str">
        <f t="shared" si="1"/>
        <v>가톨릭대학교 서울성모병원</v>
      </c>
      <c r="I47" s="2" t="str">
        <f>"배치전"</f>
        <v>배치전</v>
      </c>
    </row>
    <row r="48" spans="1:9" x14ac:dyDescent="0.3">
      <c r="A48" s="2" t="str">
        <f t="shared" si="9"/>
        <v>20240228</v>
      </c>
      <c r="B48" s="2" t="str">
        <f>"24085273"</f>
        <v>24085273</v>
      </c>
      <c r="C48" s="2" t="str">
        <f>"이미리"</f>
        <v>이미리</v>
      </c>
      <c r="D48" s="2" t="str">
        <f t="shared" si="8"/>
        <v>F</v>
      </c>
      <c r="E48" s="2" t="str">
        <f>"19850729"</f>
        <v>19850729</v>
      </c>
      <c r="F48" s="2" t="str">
        <f>"38"</f>
        <v>38</v>
      </c>
      <c r="G48" s="2" t="str">
        <f t="shared" si="0"/>
        <v>E78660</v>
      </c>
      <c r="H48" s="2" t="str">
        <f t="shared" si="1"/>
        <v>가톨릭대학교 서울성모병원</v>
      </c>
      <c r="I48" s="2" t="str">
        <f>"배치전"</f>
        <v>배치전</v>
      </c>
    </row>
    <row r="49" spans="1:9" x14ac:dyDescent="0.3">
      <c r="A49" s="2" t="str">
        <f t="shared" si="9"/>
        <v>20240228</v>
      </c>
      <c r="B49" s="2" t="str">
        <f>"32406051"</f>
        <v>32406051</v>
      </c>
      <c r="C49" s="2" t="str">
        <f>"이태현"</f>
        <v>이태현</v>
      </c>
      <c r="D49" s="2" t="str">
        <f t="shared" si="8"/>
        <v>F</v>
      </c>
      <c r="E49" s="2" t="str">
        <f>"19950321"</f>
        <v>19950321</v>
      </c>
      <c r="F49" s="2" t="str">
        <f>"28"</f>
        <v>28</v>
      </c>
      <c r="G49" s="2" t="str">
        <f t="shared" si="0"/>
        <v>E78660</v>
      </c>
      <c r="H49" s="2" t="str">
        <f t="shared" si="1"/>
        <v>가톨릭대학교 서울성모병원</v>
      </c>
      <c r="I49" s="2" t="str">
        <f>"배치전"</f>
        <v>배치전</v>
      </c>
    </row>
    <row r="50" spans="1:9" x14ac:dyDescent="0.3">
      <c r="A50" s="2" t="str">
        <f t="shared" si="9"/>
        <v>20240228</v>
      </c>
      <c r="B50" s="2" t="str">
        <f>"38475022"</f>
        <v>38475022</v>
      </c>
      <c r="C50" s="2" t="str">
        <f>"손민희"</f>
        <v>손민희</v>
      </c>
      <c r="D50" s="2" t="str">
        <f t="shared" si="8"/>
        <v>F</v>
      </c>
      <c r="E50" s="2" t="str">
        <f>"19910408"</f>
        <v>19910408</v>
      </c>
      <c r="F50" s="2" t="str">
        <f>"32"</f>
        <v>32</v>
      </c>
      <c r="G50" s="2" t="str">
        <f t="shared" si="0"/>
        <v>E78660</v>
      </c>
      <c r="H50" s="2" t="str">
        <f t="shared" si="1"/>
        <v>가톨릭대학교 서울성모병원</v>
      </c>
      <c r="I50" s="2" t="str">
        <f>"배치전"</f>
        <v>배치전</v>
      </c>
    </row>
    <row r="51" spans="1:9" x14ac:dyDescent="0.3">
      <c r="A51" s="2" t="str">
        <f t="shared" si="9"/>
        <v>20240228</v>
      </c>
      <c r="B51" s="2" t="str">
        <f>"38512581"</f>
        <v>38512581</v>
      </c>
      <c r="C51" s="2" t="str">
        <f>"권지수"</f>
        <v>권지수</v>
      </c>
      <c r="D51" s="2" t="str">
        <f t="shared" si="8"/>
        <v>F</v>
      </c>
      <c r="E51" s="2" t="str">
        <f>"20001108"</f>
        <v>20001108</v>
      </c>
      <c r="F51" s="2" t="str">
        <f>"23"</f>
        <v>23</v>
      </c>
      <c r="G51" s="2" t="str">
        <f t="shared" si="0"/>
        <v>E78660</v>
      </c>
      <c r="H51" s="2" t="str">
        <f t="shared" si="1"/>
        <v>가톨릭대학교 서울성모병원</v>
      </c>
      <c r="I51" s="2" t="str">
        <f>"배치후"</f>
        <v>배치후</v>
      </c>
    </row>
    <row r="52" spans="1:9" x14ac:dyDescent="0.3">
      <c r="A52" s="2" t="str">
        <f t="shared" si="9"/>
        <v>20240228</v>
      </c>
      <c r="B52" s="2" t="str">
        <f>"38940263"</f>
        <v>38940263</v>
      </c>
      <c r="C52" s="2" t="str">
        <f>"임정연"</f>
        <v>임정연</v>
      </c>
      <c r="D52" s="2" t="str">
        <f t="shared" si="8"/>
        <v>F</v>
      </c>
      <c r="E52" s="2" t="str">
        <f>"19961225"</f>
        <v>19961225</v>
      </c>
      <c r="F52" s="2" t="str">
        <f>"27"</f>
        <v>27</v>
      </c>
      <c r="G52" s="2" t="str">
        <f t="shared" si="0"/>
        <v>E78660</v>
      </c>
      <c r="H52" s="2" t="str">
        <f t="shared" si="1"/>
        <v>가톨릭대학교 서울성모병원</v>
      </c>
      <c r="I52" s="2" t="str">
        <f>"배치후"</f>
        <v>배치후</v>
      </c>
    </row>
    <row r="53" spans="1:9" x14ac:dyDescent="0.3">
      <c r="A53" s="2" t="str">
        <f t="shared" si="9"/>
        <v>20240228</v>
      </c>
      <c r="B53" s="2" t="str">
        <f>"39283436"</f>
        <v>39283436</v>
      </c>
      <c r="C53" s="2" t="str">
        <f>"이승효"</f>
        <v>이승효</v>
      </c>
      <c r="D53" s="2" t="str">
        <f t="shared" si="8"/>
        <v>F</v>
      </c>
      <c r="E53" s="2" t="str">
        <f>"19970318"</f>
        <v>19970318</v>
      </c>
      <c r="F53" s="2" t="str">
        <f>"26"</f>
        <v>26</v>
      </c>
      <c r="G53" s="2" t="str">
        <f t="shared" si="0"/>
        <v>E78660</v>
      </c>
      <c r="H53" s="2" t="str">
        <f t="shared" si="1"/>
        <v>가톨릭대학교 서울성모병원</v>
      </c>
      <c r="I53" s="2" t="str">
        <f>"배치전"</f>
        <v>배치전</v>
      </c>
    </row>
    <row r="54" spans="1:9" x14ac:dyDescent="0.3">
      <c r="A54" s="2" t="str">
        <f t="shared" si="9"/>
        <v>20240228</v>
      </c>
      <c r="B54" s="2" t="str">
        <f>"39283463"</f>
        <v>39283463</v>
      </c>
      <c r="C54" s="2" t="str">
        <f>"모나현"</f>
        <v>모나현</v>
      </c>
      <c r="D54" s="2" t="str">
        <f t="shared" si="8"/>
        <v>F</v>
      </c>
      <c r="E54" s="2" t="str">
        <f>"20000224"</f>
        <v>20000224</v>
      </c>
      <c r="F54" s="2" t="str">
        <f>"24"</f>
        <v>24</v>
      </c>
      <c r="G54" s="2" t="str">
        <f t="shared" si="0"/>
        <v>E78660</v>
      </c>
      <c r="H54" s="2" t="str">
        <f t="shared" si="1"/>
        <v>가톨릭대학교 서울성모병원</v>
      </c>
      <c r="I54" s="2" t="str">
        <f>"배치전"</f>
        <v>배치전</v>
      </c>
    </row>
    <row r="55" spans="1:9" x14ac:dyDescent="0.3">
      <c r="A55" s="2" t="str">
        <f t="shared" si="9"/>
        <v>20240228</v>
      </c>
      <c r="B55" s="2" t="str">
        <f>"39576422"</f>
        <v>39576422</v>
      </c>
      <c r="C55" s="2" t="str">
        <f>"백진영"</f>
        <v>백진영</v>
      </c>
      <c r="D55" s="2" t="str">
        <f t="shared" si="8"/>
        <v>F</v>
      </c>
      <c r="E55" s="2" t="str">
        <f>"19970131"</f>
        <v>19970131</v>
      </c>
      <c r="F55" s="2" t="str">
        <f>"27"</f>
        <v>27</v>
      </c>
      <c r="G55" s="2" t="str">
        <f t="shared" si="0"/>
        <v>E78660</v>
      </c>
      <c r="H55" s="2" t="str">
        <f t="shared" si="1"/>
        <v>가톨릭대학교 서울성모병원</v>
      </c>
      <c r="I55" s="2" t="str">
        <f>"배치전"</f>
        <v>배치전</v>
      </c>
    </row>
    <row r="56" spans="1:9" x14ac:dyDescent="0.3">
      <c r="A56" s="2" t="str">
        <f t="shared" si="9"/>
        <v>20240228</v>
      </c>
      <c r="B56" s="2" t="str">
        <f>"39576433"</f>
        <v>39576433</v>
      </c>
      <c r="C56" s="2" t="str">
        <f>"김미희"</f>
        <v>김미희</v>
      </c>
      <c r="D56" s="2" t="str">
        <f t="shared" si="8"/>
        <v>F</v>
      </c>
      <c r="E56" s="2" t="str">
        <f>"19990414"</f>
        <v>19990414</v>
      </c>
      <c r="F56" s="2" t="str">
        <f>"24"</f>
        <v>24</v>
      </c>
      <c r="G56" s="2" t="str">
        <f t="shared" si="0"/>
        <v>E78660</v>
      </c>
      <c r="H56" s="2" t="str">
        <f t="shared" si="1"/>
        <v>가톨릭대학교 서울성모병원</v>
      </c>
      <c r="I56" s="2" t="str">
        <f>"배치전"</f>
        <v>배치전</v>
      </c>
    </row>
    <row r="57" spans="1:9" x14ac:dyDescent="0.3">
      <c r="A57" s="2" t="str">
        <f>"20240319"</f>
        <v>20240319</v>
      </c>
      <c r="B57" s="2" t="str">
        <f>"11772131"</f>
        <v>11772131</v>
      </c>
      <c r="C57" s="2" t="str">
        <f>"김정언"</f>
        <v>김정언</v>
      </c>
      <c r="D57" s="2" t="str">
        <f t="shared" si="8"/>
        <v>F</v>
      </c>
      <c r="E57" s="2" t="str">
        <f>"19951201"</f>
        <v>19951201</v>
      </c>
      <c r="F57" s="2" t="str">
        <f>"28"</f>
        <v>28</v>
      </c>
      <c r="G57" s="2" t="str">
        <f t="shared" si="0"/>
        <v>E78660</v>
      </c>
      <c r="H57" s="2" t="str">
        <f t="shared" si="1"/>
        <v>가톨릭대학교 서울성모병원</v>
      </c>
      <c r="I57" s="2" t="str">
        <f>"배치후"</f>
        <v>배치후</v>
      </c>
    </row>
    <row r="58" spans="1:9" x14ac:dyDescent="0.3">
      <c r="A58" s="2" t="str">
        <f>"20240319"</f>
        <v>20240319</v>
      </c>
      <c r="B58" s="2" t="str">
        <f>"36618650"</f>
        <v>36618650</v>
      </c>
      <c r="C58" s="2" t="str">
        <f>"이소민"</f>
        <v>이소민</v>
      </c>
      <c r="D58" s="2" t="str">
        <f t="shared" si="8"/>
        <v>F</v>
      </c>
      <c r="E58" s="2" t="str">
        <f>"19980708"</f>
        <v>19980708</v>
      </c>
      <c r="F58" s="2" t="str">
        <f>"25"</f>
        <v>25</v>
      </c>
      <c r="G58" s="2" t="str">
        <f t="shared" si="0"/>
        <v>E78660</v>
      </c>
      <c r="H58" s="2" t="str">
        <f t="shared" si="1"/>
        <v>가톨릭대학교 서울성모병원</v>
      </c>
      <c r="I58" s="2" t="str">
        <f>"배치후"</f>
        <v>배치후</v>
      </c>
    </row>
    <row r="59" spans="1:9" x14ac:dyDescent="0.3">
      <c r="A59" s="2" t="str">
        <f>"20240319"</f>
        <v>20240319</v>
      </c>
      <c r="B59" s="2" t="str">
        <f>"39654071"</f>
        <v>39654071</v>
      </c>
      <c r="C59" s="2" t="str">
        <f>"양희주"</f>
        <v>양희주</v>
      </c>
      <c r="D59" s="2" t="str">
        <f t="shared" si="8"/>
        <v>F</v>
      </c>
      <c r="E59" s="2" t="str">
        <f>"19960620"</f>
        <v>19960620</v>
      </c>
      <c r="F59" s="2" t="str">
        <f>"27"</f>
        <v>27</v>
      </c>
      <c r="G59" s="2" t="str">
        <f t="shared" si="0"/>
        <v>E78660</v>
      </c>
      <c r="H59" s="2" t="str">
        <f t="shared" si="1"/>
        <v>가톨릭대학교 서울성모병원</v>
      </c>
      <c r="I59" s="2" t="str">
        <f>"배치전"</f>
        <v>배치전</v>
      </c>
    </row>
    <row r="60" spans="1:9" x14ac:dyDescent="0.3">
      <c r="A60" s="2" t="str">
        <f>"20240319"</f>
        <v>20240319</v>
      </c>
      <c r="B60" s="2" t="str">
        <f>"39669573"</f>
        <v>39669573</v>
      </c>
      <c r="C60" s="2" t="str">
        <f>"이주봉"</f>
        <v>이주봉</v>
      </c>
      <c r="D60" s="2" t="str">
        <f>"M"</f>
        <v>M</v>
      </c>
      <c r="E60" s="2" t="str">
        <f>"20001224"</f>
        <v>20001224</v>
      </c>
      <c r="F60" s="2" t="str">
        <f>"23"</f>
        <v>23</v>
      </c>
      <c r="G60" s="2" t="str">
        <f t="shared" si="0"/>
        <v>E78660</v>
      </c>
      <c r="H60" s="2" t="str">
        <f t="shared" si="1"/>
        <v>가톨릭대학교 서울성모병원</v>
      </c>
      <c r="I60" s="2" t="str">
        <f>"배치전"</f>
        <v>배치전</v>
      </c>
    </row>
    <row r="61" spans="1:9" x14ac:dyDescent="0.3">
      <c r="A61" s="2" t="str">
        <f>"20240319"</f>
        <v>20240319</v>
      </c>
      <c r="B61" s="2" t="str">
        <f>"39680365"</f>
        <v>39680365</v>
      </c>
      <c r="C61" s="2" t="str">
        <f>"김나영"</f>
        <v>김나영</v>
      </c>
      <c r="D61" s="2" t="str">
        <f t="shared" ref="D61:D71" si="10">"F"</f>
        <v>F</v>
      </c>
      <c r="E61" s="2" t="str">
        <f>"19960709"</f>
        <v>19960709</v>
      </c>
      <c r="F61" s="2" t="str">
        <f>"27"</f>
        <v>27</v>
      </c>
      <c r="G61" s="2" t="str">
        <f t="shared" si="0"/>
        <v>E78660</v>
      </c>
      <c r="H61" s="2" t="str">
        <f t="shared" si="1"/>
        <v>가톨릭대학교 서울성모병원</v>
      </c>
      <c r="I61" s="2" t="str">
        <f>"배치전"</f>
        <v>배치전</v>
      </c>
    </row>
    <row r="62" spans="1:9" x14ac:dyDescent="0.3">
      <c r="A62" s="2" t="str">
        <f t="shared" ref="A62:A72" si="11">"20240320"</f>
        <v>20240320</v>
      </c>
      <c r="B62" s="2" t="str">
        <f>"13862167"</f>
        <v>13862167</v>
      </c>
      <c r="C62" s="2" t="str">
        <f>"김은영"</f>
        <v>김은영</v>
      </c>
      <c r="D62" s="2" t="str">
        <f t="shared" si="10"/>
        <v>F</v>
      </c>
      <c r="E62" s="2" t="str">
        <f>"19770717"</f>
        <v>19770717</v>
      </c>
      <c r="F62" s="2" t="str">
        <f>"46"</f>
        <v>46</v>
      </c>
      <c r="G62" s="2" t="str">
        <f t="shared" si="0"/>
        <v>E78660</v>
      </c>
      <c r="H62" s="2" t="str">
        <f t="shared" si="1"/>
        <v>가톨릭대학교 서울성모병원</v>
      </c>
      <c r="I62" s="2" t="str">
        <f>"배치전"</f>
        <v>배치전</v>
      </c>
    </row>
    <row r="63" spans="1:9" x14ac:dyDescent="0.3">
      <c r="A63" s="2" t="str">
        <f t="shared" si="11"/>
        <v>20240320</v>
      </c>
      <c r="B63" s="2" t="str">
        <f>"17015869"</f>
        <v>17015869</v>
      </c>
      <c r="C63" s="2" t="str">
        <f>"김혜준"</f>
        <v>김혜준</v>
      </c>
      <c r="D63" s="2" t="str">
        <f t="shared" si="10"/>
        <v>F</v>
      </c>
      <c r="E63" s="2" t="str">
        <f>"19960222"</f>
        <v>19960222</v>
      </c>
      <c r="F63" s="2" t="str">
        <f>"28"</f>
        <v>28</v>
      </c>
      <c r="G63" s="2" t="str">
        <f t="shared" si="0"/>
        <v>E78660</v>
      </c>
      <c r="H63" s="2" t="str">
        <f t="shared" si="1"/>
        <v>가톨릭대학교 서울성모병원</v>
      </c>
      <c r="I63" s="2" t="str">
        <f>"배치전"</f>
        <v>배치전</v>
      </c>
    </row>
    <row r="64" spans="1:9" x14ac:dyDescent="0.3">
      <c r="A64" s="2" t="str">
        <f t="shared" si="11"/>
        <v>20240320</v>
      </c>
      <c r="B64" s="2" t="str">
        <f>"27711594"</f>
        <v>27711594</v>
      </c>
      <c r="C64" s="2" t="str">
        <f>"권미연"</f>
        <v>권미연</v>
      </c>
      <c r="D64" s="2" t="str">
        <f t="shared" si="10"/>
        <v>F</v>
      </c>
      <c r="E64" s="2" t="str">
        <f>"19910723"</f>
        <v>19910723</v>
      </c>
      <c r="F64" s="2" t="str">
        <f>"32"</f>
        <v>32</v>
      </c>
      <c r="G64" s="2" t="str">
        <f t="shared" si="0"/>
        <v>E78660</v>
      </c>
      <c r="H64" s="2" t="str">
        <f t="shared" si="1"/>
        <v>가톨릭대학교 서울성모병원</v>
      </c>
      <c r="I64" s="2" t="str">
        <f>"배치후"</f>
        <v>배치후</v>
      </c>
    </row>
    <row r="65" spans="1:9" x14ac:dyDescent="0.3">
      <c r="A65" s="2" t="str">
        <f t="shared" si="11"/>
        <v>20240320</v>
      </c>
      <c r="B65" s="2" t="str">
        <f>"30119241"</f>
        <v>30119241</v>
      </c>
      <c r="C65" s="2" t="str">
        <f>"박주희"</f>
        <v>박주희</v>
      </c>
      <c r="D65" s="2" t="str">
        <f t="shared" si="10"/>
        <v>F</v>
      </c>
      <c r="E65" s="2" t="str">
        <f>"19930730"</f>
        <v>19930730</v>
      </c>
      <c r="F65" s="2" t="str">
        <f>"30"</f>
        <v>30</v>
      </c>
      <c r="G65" s="2" t="str">
        <f t="shared" si="0"/>
        <v>E78660</v>
      </c>
      <c r="H65" s="2" t="str">
        <f t="shared" si="1"/>
        <v>가톨릭대학교 서울성모병원</v>
      </c>
      <c r="I65" s="2" t="str">
        <f>"배치후"</f>
        <v>배치후</v>
      </c>
    </row>
    <row r="66" spans="1:9" x14ac:dyDescent="0.3">
      <c r="A66" s="2" t="str">
        <f t="shared" si="11"/>
        <v>20240320</v>
      </c>
      <c r="B66" s="2" t="str">
        <f>"32159166"</f>
        <v>32159166</v>
      </c>
      <c r="C66" s="2" t="str">
        <f>"이다은"</f>
        <v>이다은</v>
      </c>
      <c r="D66" s="2" t="str">
        <f t="shared" si="10"/>
        <v>F</v>
      </c>
      <c r="E66" s="2" t="str">
        <f>"19991030"</f>
        <v>19991030</v>
      </c>
      <c r="F66" s="2" t="str">
        <f>"24"</f>
        <v>24</v>
      </c>
      <c r="G66" s="2" t="str">
        <f t="shared" ref="G66:G129" si="12">"E78660"</f>
        <v>E78660</v>
      </c>
      <c r="H66" s="2" t="str">
        <f t="shared" ref="H66:H129" si="13">"가톨릭대학교 서울성모병원"</f>
        <v>가톨릭대학교 서울성모병원</v>
      </c>
      <c r="I66" s="2" t="str">
        <f>"배치후"</f>
        <v>배치후</v>
      </c>
    </row>
    <row r="67" spans="1:9" x14ac:dyDescent="0.3">
      <c r="A67" s="2" t="str">
        <f t="shared" si="11"/>
        <v>20240320</v>
      </c>
      <c r="B67" s="2" t="str">
        <f>"33448412"</f>
        <v>33448412</v>
      </c>
      <c r="C67" s="2" t="str">
        <f>"박민아"</f>
        <v>박민아</v>
      </c>
      <c r="D67" s="2" t="str">
        <f t="shared" si="10"/>
        <v>F</v>
      </c>
      <c r="E67" s="2" t="str">
        <f>"19981121"</f>
        <v>19981121</v>
      </c>
      <c r="F67" s="2" t="str">
        <f>"25"</f>
        <v>25</v>
      </c>
      <c r="G67" s="2" t="str">
        <f t="shared" si="12"/>
        <v>E78660</v>
      </c>
      <c r="H67" s="2" t="str">
        <f t="shared" si="13"/>
        <v>가톨릭대학교 서울성모병원</v>
      </c>
      <c r="I67" s="2" t="str">
        <f>"배치후"</f>
        <v>배치후</v>
      </c>
    </row>
    <row r="68" spans="1:9" x14ac:dyDescent="0.3">
      <c r="A68" s="2" t="str">
        <f t="shared" si="11"/>
        <v>20240320</v>
      </c>
      <c r="B68" s="2" t="str">
        <f>"38287083"</f>
        <v>38287083</v>
      </c>
      <c r="C68" s="2" t="str">
        <f>"김진향"</f>
        <v>김진향</v>
      </c>
      <c r="D68" s="2" t="str">
        <f t="shared" si="10"/>
        <v>F</v>
      </c>
      <c r="E68" s="2" t="str">
        <f>"19930228"</f>
        <v>19930228</v>
      </c>
      <c r="F68" s="2" t="str">
        <f>"31"</f>
        <v>31</v>
      </c>
      <c r="G68" s="2" t="str">
        <f t="shared" si="12"/>
        <v>E78660</v>
      </c>
      <c r="H68" s="2" t="str">
        <f t="shared" si="13"/>
        <v>가톨릭대학교 서울성모병원</v>
      </c>
      <c r="I68" s="2" t="str">
        <f t="shared" ref="I68:I73" si="14">"배치전"</f>
        <v>배치전</v>
      </c>
    </row>
    <row r="69" spans="1:9" x14ac:dyDescent="0.3">
      <c r="A69" s="2" t="str">
        <f t="shared" si="11"/>
        <v>20240320</v>
      </c>
      <c r="B69" s="2" t="str">
        <f>"39686832"</f>
        <v>39686832</v>
      </c>
      <c r="C69" s="2" t="str">
        <f>"조유진"</f>
        <v>조유진</v>
      </c>
      <c r="D69" s="2" t="str">
        <f t="shared" si="10"/>
        <v>F</v>
      </c>
      <c r="E69" s="2" t="str">
        <f>"19970814"</f>
        <v>19970814</v>
      </c>
      <c r="F69" s="2" t="str">
        <f>"26"</f>
        <v>26</v>
      </c>
      <c r="G69" s="2" t="str">
        <f t="shared" si="12"/>
        <v>E78660</v>
      </c>
      <c r="H69" s="2" t="str">
        <f t="shared" si="13"/>
        <v>가톨릭대학교 서울성모병원</v>
      </c>
      <c r="I69" s="2" t="str">
        <f t="shared" si="14"/>
        <v>배치전</v>
      </c>
    </row>
    <row r="70" spans="1:9" x14ac:dyDescent="0.3">
      <c r="A70" s="2" t="str">
        <f t="shared" si="11"/>
        <v>20240320</v>
      </c>
      <c r="B70" s="2" t="str">
        <f>"39688710"</f>
        <v>39688710</v>
      </c>
      <c r="C70" s="2" t="str">
        <f>"정륜남"</f>
        <v>정륜남</v>
      </c>
      <c r="D70" s="2" t="str">
        <f t="shared" si="10"/>
        <v>F</v>
      </c>
      <c r="E70" s="2" t="str">
        <f>"19991029"</f>
        <v>19991029</v>
      </c>
      <c r="F70" s="2" t="str">
        <f>"24"</f>
        <v>24</v>
      </c>
      <c r="G70" s="2" t="str">
        <f t="shared" si="12"/>
        <v>E78660</v>
      </c>
      <c r="H70" s="2" t="str">
        <f t="shared" si="13"/>
        <v>가톨릭대학교 서울성모병원</v>
      </c>
      <c r="I70" s="2" t="str">
        <f t="shared" si="14"/>
        <v>배치전</v>
      </c>
    </row>
    <row r="71" spans="1:9" x14ac:dyDescent="0.3">
      <c r="A71" s="2" t="str">
        <f t="shared" si="11"/>
        <v>20240320</v>
      </c>
      <c r="B71" s="2" t="str">
        <f>"39688721"</f>
        <v>39688721</v>
      </c>
      <c r="C71" s="2" t="str">
        <f>"박영진"</f>
        <v>박영진</v>
      </c>
      <c r="D71" s="2" t="str">
        <f t="shared" si="10"/>
        <v>F</v>
      </c>
      <c r="E71" s="2" t="str">
        <f>"19990905"</f>
        <v>19990905</v>
      </c>
      <c r="F71" s="2" t="str">
        <f>"24"</f>
        <v>24</v>
      </c>
      <c r="G71" s="2" t="str">
        <f t="shared" si="12"/>
        <v>E78660</v>
      </c>
      <c r="H71" s="2" t="str">
        <f t="shared" si="13"/>
        <v>가톨릭대학교 서울성모병원</v>
      </c>
      <c r="I71" s="2" t="str">
        <f t="shared" si="14"/>
        <v>배치전</v>
      </c>
    </row>
    <row r="72" spans="1:9" x14ac:dyDescent="0.3">
      <c r="A72" s="2" t="str">
        <f t="shared" si="11"/>
        <v>20240320</v>
      </c>
      <c r="B72" s="2" t="str">
        <f>"39713822"</f>
        <v>39713822</v>
      </c>
      <c r="C72" s="2" t="str">
        <f>"박정훈"</f>
        <v>박정훈</v>
      </c>
      <c r="D72" s="2" t="str">
        <f>"M"</f>
        <v>M</v>
      </c>
      <c r="E72" s="2" t="str">
        <f>"19910815"</f>
        <v>19910815</v>
      </c>
      <c r="F72" s="2" t="str">
        <f>"32"</f>
        <v>32</v>
      </c>
      <c r="G72" s="2" t="str">
        <f t="shared" si="12"/>
        <v>E78660</v>
      </c>
      <c r="H72" s="2" t="str">
        <f t="shared" si="13"/>
        <v>가톨릭대학교 서울성모병원</v>
      </c>
      <c r="I72" s="2" t="str">
        <f t="shared" si="14"/>
        <v>배치전</v>
      </c>
    </row>
    <row r="73" spans="1:9" x14ac:dyDescent="0.3">
      <c r="A73" s="2" t="str">
        <f t="shared" ref="A73:A81" si="15">"20240327"</f>
        <v>20240327</v>
      </c>
      <c r="B73" s="2" t="str">
        <f>"25037931"</f>
        <v>25037931</v>
      </c>
      <c r="C73" s="2" t="str">
        <f>"조선미"</f>
        <v>조선미</v>
      </c>
      <c r="D73" s="2" t="str">
        <f>"F"</f>
        <v>F</v>
      </c>
      <c r="E73" s="2" t="str">
        <f>"19890812"</f>
        <v>19890812</v>
      </c>
      <c r="F73" s="2" t="str">
        <f>"34"</f>
        <v>34</v>
      </c>
      <c r="G73" s="2" t="str">
        <f t="shared" si="12"/>
        <v>E78660</v>
      </c>
      <c r="H73" s="2" t="str">
        <f t="shared" si="13"/>
        <v>가톨릭대학교 서울성모병원</v>
      </c>
      <c r="I73" s="2" t="str">
        <f t="shared" si="14"/>
        <v>배치전</v>
      </c>
    </row>
    <row r="74" spans="1:9" x14ac:dyDescent="0.3">
      <c r="A74" s="2" t="str">
        <f t="shared" si="15"/>
        <v>20240327</v>
      </c>
      <c r="B74" s="2" t="str">
        <f>"26260102"</f>
        <v>26260102</v>
      </c>
      <c r="C74" s="2" t="str">
        <f>"윤지현"</f>
        <v>윤지현</v>
      </c>
      <c r="D74" s="2" t="str">
        <f>"F"</f>
        <v>F</v>
      </c>
      <c r="E74" s="2" t="str">
        <f>"19900527"</f>
        <v>19900527</v>
      </c>
      <c r="F74" s="2" t="str">
        <f>"33"</f>
        <v>33</v>
      </c>
      <c r="G74" s="2" t="str">
        <f t="shared" si="12"/>
        <v>E78660</v>
      </c>
      <c r="H74" s="2" t="str">
        <f t="shared" si="13"/>
        <v>가톨릭대학교 서울성모병원</v>
      </c>
      <c r="I74" s="2" t="str">
        <f>"배치후"</f>
        <v>배치후</v>
      </c>
    </row>
    <row r="75" spans="1:9" x14ac:dyDescent="0.3">
      <c r="A75" s="2" t="str">
        <f t="shared" si="15"/>
        <v>20240327</v>
      </c>
      <c r="B75" s="2" t="str">
        <f>"36043525"</f>
        <v>36043525</v>
      </c>
      <c r="C75" s="2" t="str">
        <f>"손준석"</f>
        <v>손준석</v>
      </c>
      <c r="D75" s="2" t="str">
        <f>"M"</f>
        <v>M</v>
      </c>
      <c r="E75" s="2" t="str">
        <f>"19960821"</f>
        <v>19960821</v>
      </c>
      <c r="F75" s="2" t="str">
        <f>"27"</f>
        <v>27</v>
      </c>
      <c r="G75" s="2" t="str">
        <f t="shared" si="12"/>
        <v>E78660</v>
      </c>
      <c r="H75" s="2" t="str">
        <f t="shared" si="13"/>
        <v>가톨릭대학교 서울성모병원</v>
      </c>
      <c r="I75" s="2" t="str">
        <f>"배치후"</f>
        <v>배치후</v>
      </c>
    </row>
    <row r="76" spans="1:9" x14ac:dyDescent="0.3">
      <c r="A76" s="2" t="str">
        <f t="shared" si="15"/>
        <v>20240327</v>
      </c>
      <c r="B76" s="2" t="str">
        <f>"38605751"</f>
        <v>38605751</v>
      </c>
      <c r="C76" s="2" t="str">
        <f>"나소영"</f>
        <v>나소영</v>
      </c>
      <c r="D76" s="2" t="str">
        <f>"F"</f>
        <v>F</v>
      </c>
      <c r="E76" s="2" t="str">
        <f>"19990730"</f>
        <v>19990730</v>
      </c>
      <c r="F76" s="2" t="str">
        <f>"24"</f>
        <v>24</v>
      </c>
      <c r="G76" s="2" t="str">
        <f t="shared" si="12"/>
        <v>E78660</v>
      </c>
      <c r="H76" s="2" t="str">
        <f t="shared" si="13"/>
        <v>가톨릭대학교 서울성모병원</v>
      </c>
      <c r="I76" s="2" t="str">
        <f>"배치후"</f>
        <v>배치후</v>
      </c>
    </row>
    <row r="77" spans="1:9" x14ac:dyDescent="0.3">
      <c r="A77" s="2" t="str">
        <f t="shared" si="15"/>
        <v>20240327</v>
      </c>
      <c r="B77" s="2" t="str">
        <f>"38662154"</f>
        <v>38662154</v>
      </c>
      <c r="C77" s="2" t="str">
        <f>"김하은"</f>
        <v>김하은</v>
      </c>
      <c r="D77" s="2" t="str">
        <f>"F"</f>
        <v>F</v>
      </c>
      <c r="E77" s="2" t="str">
        <f>"19991123"</f>
        <v>19991123</v>
      </c>
      <c r="F77" s="2" t="str">
        <f>"24"</f>
        <v>24</v>
      </c>
      <c r="G77" s="2" t="str">
        <f t="shared" si="12"/>
        <v>E78660</v>
      </c>
      <c r="H77" s="2" t="str">
        <f t="shared" si="13"/>
        <v>가톨릭대학교 서울성모병원</v>
      </c>
      <c r="I77" s="2" t="str">
        <f>"배치후"</f>
        <v>배치후</v>
      </c>
    </row>
    <row r="78" spans="1:9" x14ac:dyDescent="0.3">
      <c r="A78" s="2" t="str">
        <f t="shared" si="15"/>
        <v>20240327</v>
      </c>
      <c r="B78" s="2" t="str">
        <f>"39654060"</f>
        <v>39654060</v>
      </c>
      <c r="C78" s="2" t="str">
        <f>"김하은"</f>
        <v>김하은</v>
      </c>
      <c r="D78" s="2" t="str">
        <f>"F"</f>
        <v>F</v>
      </c>
      <c r="E78" s="2" t="str">
        <f>"19970129"</f>
        <v>19970129</v>
      </c>
      <c r="F78" s="2" t="str">
        <f>"27"</f>
        <v>27</v>
      </c>
      <c r="G78" s="2" t="str">
        <f t="shared" si="12"/>
        <v>E78660</v>
      </c>
      <c r="H78" s="2" t="str">
        <f t="shared" si="13"/>
        <v>가톨릭대학교 서울성모병원</v>
      </c>
      <c r="I78" s="2" t="str">
        <f>"배치전"</f>
        <v>배치전</v>
      </c>
    </row>
    <row r="79" spans="1:9" x14ac:dyDescent="0.3">
      <c r="A79" s="2" t="str">
        <f t="shared" si="15"/>
        <v>20240327</v>
      </c>
      <c r="B79" s="2" t="str">
        <f>"39672233"</f>
        <v>39672233</v>
      </c>
      <c r="C79" s="2" t="str">
        <f>"임근재"</f>
        <v>임근재</v>
      </c>
      <c r="D79" s="2" t="str">
        <f>"M"</f>
        <v>M</v>
      </c>
      <c r="E79" s="2" t="str">
        <f>"19950205"</f>
        <v>19950205</v>
      </c>
      <c r="F79" s="2" t="str">
        <f>"29"</f>
        <v>29</v>
      </c>
      <c r="G79" s="2" t="str">
        <f t="shared" si="12"/>
        <v>E78660</v>
      </c>
      <c r="H79" s="2" t="str">
        <f t="shared" si="13"/>
        <v>가톨릭대학교 서울성모병원</v>
      </c>
      <c r="I79" s="2" t="str">
        <f>"배치전"</f>
        <v>배치전</v>
      </c>
    </row>
    <row r="80" spans="1:9" x14ac:dyDescent="0.3">
      <c r="A80" s="2" t="str">
        <f t="shared" si="15"/>
        <v>20240327</v>
      </c>
      <c r="B80" s="2" t="str">
        <f>"39713751"</f>
        <v>39713751</v>
      </c>
      <c r="C80" s="2" t="str">
        <f>"최희원"</f>
        <v>최희원</v>
      </c>
      <c r="D80" s="2" t="str">
        <f>"F"</f>
        <v>F</v>
      </c>
      <c r="E80" s="2" t="str">
        <f>"19980209"</f>
        <v>19980209</v>
      </c>
      <c r="F80" s="2" t="str">
        <f>"26"</f>
        <v>26</v>
      </c>
      <c r="G80" s="2" t="str">
        <f t="shared" si="12"/>
        <v>E78660</v>
      </c>
      <c r="H80" s="2" t="str">
        <f t="shared" si="13"/>
        <v>가톨릭대학교 서울성모병원</v>
      </c>
      <c r="I80" s="2" t="str">
        <f>"배치전"</f>
        <v>배치전</v>
      </c>
    </row>
    <row r="81" spans="1:9" x14ac:dyDescent="0.3">
      <c r="A81" s="2" t="str">
        <f t="shared" si="15"/>
        <v>20240327</v>
      </c>
      <c r="B81" s="2" t="str">
        <f>"39713831"</f>
        <v>39713831</v>
      </c>
      <c r="C81" s="2" t="str">
        <f>"주혜성"</f>
        <v>주혜성</v>
      </c>
      <c r="D81" s="2" t="str">
        <f>"M"</f>
        <v>M</v>
      </c>
      <c r="E81" s="2" t="str">
        <f>"19950718"</f>
        <v>19950718</v>
      </c>
      <c r="F81" s="2" t="str">
        <f>"28"</f>
        <v>28</v>
      </c>
      <c r="G81" s="2" t="str">
        <f t="shared" si="12"/>
        <v>E78660</v>
      </c>
      <c r="H81" s="2" t="str">
        <f t="shared" si="13"/>
        <v>가톨릭대학교 서울성모병원</v>
      </c>
      <c r="I81" s="2" t="str">
        <f>"배치전"</f>
        <v>배치전</v>
      </c>
    </row>
    <row r="82" spans="1:9" x14ac:dyDescent="0.3">
      <c r="A82" s="2" t="str">
        <f>"20240328"</f>
        <v>20240328</v>
      </c>
      <c r="B82" s="2" t="str">
        <f>"39029430"</f>
        <v>39029430</v>
      </c>
      <c r="C82" s="2" t="str">
        <f>"정동환"</f>
        <v>정동환</v>
      </c>
      <c r="D82" s="2" t="str">
        <f>"M"</f>
        <v>M</v>
      </c>
      <c r="E82" s="2" t="str">
        <f>"19991014"</f>
        <v>19991014</v>
      </c>
      <c r="F82" s="2" t="str">
        <f>"24"</f>
        <v>24</v>
      </c>
      <c r="G82" s="2" t="str">
        <f t="shared" si="12"/>
        <v>E78660</v>
      </c>
      <c r="H82" s="2" t="str">
        <f t="shared" si="13"/>
        <v>가톨릭대학교 서울성모병원</v>
      </c>
      <c r="I82" s="2" t="str">
        <f>"배치후"</f>
        <v>배치후</v>
      </c>
    </row>
    <row r="83" spans="1:9" x14ac:dyDescent="0.3">
      <c r="A83" s="2" t="str">
        <f>"20240328"</f>
        <v>20240328</v>
      </c>
      <c r="B83" s="2" t="str">
        <f>"39283413"</f>
        <v>39283413</v>
      </c>
      <c r="C83" s="2" t="str">
        <f>"박아영"</f>
        <v>박아영</v>
      </c>
      <c r="D83" s="2" t="str">
        <f>"F"</f>
        <v>F</v>
      </c>
      <c r="E83" s="2" t="str">
        <f>"19991219"</f>
        <v>19991219</v>
      </c>
      <c r="F83" s="2" t="str">
        <f>"24"</f>
        <v>24</v>
      </c>
      <c r="G83" s="2" t="str">
        <f t="shared" si="12"/>
        <v>E78660</v>
      </c>
      <c r="H83" s="2" t="str">
        <f t="shared" si="13"/>
        <v>가톨릭대학교 서울성모병원</v>
      </c>
      <c r="I83" s="2" t="str">
        <f>"배치전"</f>
        <v>배치전</v>
      </c>
    </row>
    <row r="84" spans="1:9" x14ac:dyDescent="0.3">
      <c r="A84" s="2" t="str">
        <f>"20240328"</f>
        <v>20240328</v>
      </c>
      <c r="B84" s="2" t="str">
        <f>"39416926"</f>
        <v>39416926</v>
      </c>
      <c r="C84" s="2" t="str">
        <f>"소성아"</f>
        <v>소성아</v>
      </c>
      <c r="D84" s="2" t="str">
        <f>"F"</f>
        <v>F</v>
      </c>
      <c r="E84" s="2" t="str">
        <f>"20000708"</f>
        <v>20000708</v>
      </c>
      <c r="F84" s="2" t="str">
        <f>"23"</f>
        <v>23</v>
      </c>
      <c r="G84" s="2" t="str">
        <f t="shared" si="12"/>
        <v>E78660</v>
      </c>
      <c r="H84" s="2" t="str">
        <f t="shared" si="13"/>
        <v>가톨릭대학교 서울성모병원</v>
      </c>
      <c r="I84" s="2" t="str">
        <f>"배치전"</f>
        <v>배치전</v>
      </c>
    </row>
    <row r="85" spans="1:9" x14ac:dyDescent="0.3">
      <c r="A85" s="2" t="str">
        <f>"20240328"</f>
        <v>20240328</v>
      </c>
      <c r="B85" s="2" t="str">
        <f>"39416971"</f>
        <v>39416971</v>
      </c>
      <c r="C85" s="2" t="str">
        <f>"이은정"</f>
        <v>이은정</v>
      </c>
      <c r="D85" s="2" t="str">
        <f>"F"</f>
        <v>F</v>
      </c>
      <c r="E85" s="2" t="str">
        <f>"20001218"</f>
        <v>20001218</v>
      </c>
      <c r="F85" s="2" t="str">
        <f>"23"</f>
        <v>23</v>
      </c>
      <c r="G85" s="2" t="str">
        <f t="shared" si="12"/>
        <v>E78660</v>
      </c>
      <c r="H85" s="2" t="str">
        <f t="shared" si="13"/>
        <v>가톨릭대학교 서울성모병원</v>
      </c>
      <c r="I85" s="2" t="str">
        <f>"배치전"</f>
        <v>배치전</v>
      </c>
    </row>
    <row r="86" spans="1:9" x14ac:dyDescent="0.3">
      <c r="A86" s="2" t="str">
        <f t="shared" ref="A86:A91" si="16">"20240416"</f>
        <v>20240416</v>
      </c>
      <c r="B86" s="2" t="str">
        <f>"19556124"</f>
        <v>19556124</v>
      </c>
      <c r="C86" s="2" t="str">
        <f>"박찬호"</f>
        <v>박찬호</v>
      </c>
      <c r="D86" s="2" t="str">
        <f>"M"</f>
        <v>M</v>
      </c>
      <c r="E86" s="2" t="str">
        <f>"19920418"</f>
        <v>19920418</v>
      </c>
      <c r="F86" s="2" t="str">
        <f>"32"</f>
        <v>32</v>
      </c>
      <c r="G86" s="2" t="str">
        <f t="shared" si="12"/>
        <v>E78660</v>
      </c>
      <c r="H86" s="2" t="str">
        <f t="shared" si="13"/>
        <v>가톨릭대학교 서울성모병원</v>
      </c>
      <c r="I86" s="2" t="str">
        <f>"배치후"</f>
        <v>배치후</v>
      </c>
    </row>
    <row r="87" spans="1:9" x14ac:dyDescent="0.3">
      <c r="A87" s="2" t="str">
        <f t="shared" si="16"/>
        <v>20240416</v>
      </c>
      <c r="B87" s="2" t="str">
        <f>"25251851"</f>
        <v>25251851</v>
      </c>
      <c r="C87" s="2" t="str">
        <f>"이혜림"</f>
        <v>이혜림</v>
      </c>
      <c r="D87" s="2" t="str">
        <f>"F"</f>
        <v>F</v>
      </c>
      <c r="E87" s="2" t="str">
        <f>"19901116"</f>
        <v>19901116</v>
      </c>
      <c r="F87" s="2" t="str">
        <f>"33"</f>
        <v>33</v>
      </c>
      <c r="G87" s="2" t="str">
        <f t="shared" si="12"/>
        <v>E78660</v>
      </c>
      <c r="H87" s="2" t="str">
        <f t="shared" si="13"/>
        <v>가톨릭대학교 서울성모병원</v>
      </c>
      <c r="I87" s="2" t="str">
        <f>"배치전"</f>
        <v>배치전</v>
      </c>
    </row>
    <row r="88" spans="1:9" x14ac:dyDescent="0.3">
      <c r="A88" s="2" t="str">
        <f t="shared" si="16"/>
        <v>20240416</v>
      </c>
      <c r="B88" s="2" t="str">
        <f>"32305863"</f>
        <v>32305863</v>
      </c>
      <c r="C88" s="2" t="str">
        <f>"박희찬"</f>
        <v>박희찬</v>
      </c>
      <c r="D88" s="2" t="str">
        <f>"M"</f>
        <v>M</v>
      </c>
      <c r="E88" s="2" t="str">
        <f>"19921211"</f>
        <v>19921211</v>
      </c>
      <c r="F88" s="2" t="str">
        <f>"31"</f>
        <v>31</v>
      </c>
      <c r="G88" s="2" t="str">
        <f t="shared" si="12"/>
        <v>E78660</v>
      </c>
      <c r="H88" s="2" t="str">
        <f t="shared" si="13"/>
        <v>가톨릭대학교 서울성모병원</v>
      </c>
      <c r="I88" s="2" t="str">
        <f>"배치전"</f>
        <v>배치전</v>
      </c>
    </row>
    <row r="89" spans="1:9" x14ac:dyDescent="0.3">
      <c r="A89" s="2" t="str">
        <f t="shared" si="16"/>
        <v>20240416</v>
      </c>
      <c r="B89" s="2" t="str">
        <f>"36184514"</f>
        <v>36184514</v>
      </c>
      <c r="C89" s="2" t="str">
        <f>"옥보라"</f>
        <v>옥보라</v>
      </c>
      <c r="D89" s="2" t="str">
        <f>"F"</f>
        <v>F</v>
      </c>
      <c r="E89" s="2" t="str">
        <f>"19960809"</f>
        <v>19960809</v>
      </c>
      <c r="F89" s="2" t="str">
        <f>"27"</f>
        <v>27</v>
      </c>
      <c r="G89" s="2" t="str">
        <f t="shared" si="12"/>
        <v>E78660</v>
      </c>
      <c r="H89" s="2" t="str">
        <f t="shared" si="13"/>
        <v>가톨릭대학교 서울성모병원</v>
      </c>
      <c r="I89" s="2" t="str">
        <f>"배치후"</f>
        <v>배치후</v>
      </c>
    </row>
    <row r="90" spans="1:9" x14ac:dyDescent="0.3">
      <c r="A90" s="2" t="str">
        <f t="shared" si="16"/>
        <v>20240416</v>
      </c>
      <c r="B90" s="2" t="str">
        <f>"39742791"</f>
        <v>39742791</v>
      </c>
      <c r="C90" s="2" t="str">
        <f>"김민환"</f>
        <v>김민환</v>
      </c>
      <c r="D90" s="2" t="str">
        <f>"M"</f>
        <v>M</v>
      </c>
      <c r="E90" s="2" t="str">
        <f>"19910626"</f>
        <v>19910626</v>
      </c>
      <c r="F90" s="2" t="str">
        <f>"32"</f>
        <v>32</v>
      </c>
      <c r="G90" s="2" t="str">
        <f t="shared" si="12"/>
        <v>E78660</v>
      </c>
      <c r="H90" s="2" t="str">
        <f t="shared" si="13"/>
        <v>가톨릭대학교 서울성모병원</v>
      </c>
      <c r="I90" s="2" t="str">
        <f>"배치전"</f>
        <v>배치전</v>
      </c>
    </row>
    <row r="91" spans="1:9" x14ac:dyDescent="0.3">
      <c r="A91" s="2" t="str">
        <f t="shared" si="16"/>
        <v>20240416</v>
      </c>
      <c r="B91" s="2" t="str">
        <f>"39758882"</f>
        <v>39758882</v>
      </c>
      <c r="C91" s="2" t="str">
        <f>"고대훈"</f>
        <v>고대훈</v>
      </c>
      <c r="D91" s="2" t="str">
        <f>"M"</f>
        <v>M</v>
      </c>
      <c r="E91" s="2" t="str">
        <f>"19960802"</f>
        <v>19960802</v>
      </c>
      <c r="F91" s="2" t="str">
        <f>"27"</f>
        <v>27</v>
      </c>
      <c r="G91" s="2" t="str">
        <f t="shared" si="12"/>
        <v>E78660</v>
      </c>
      <c r="H91" s="2" t="str">
        <f t="shared" si="13"/>
        <v>가톨릭대학교 서울성모병원</v>
      </c>
      <c r="I91" s="2" t="str">
        <f>"배치전"</f>
        <v>배치전</v>
      </c>
    </row>
    <row r="92" spans="1:9" x14ac:dyDescent="0.3">
      <c r="A92" s="2" t="str">
        <f t="shared" ref="A92:A103" si="17">"20240417"</f>
        <v>20240417</v>
      </c>
      <c r="B92" s="2" t="str">
        <f>"11332493"</f>
        <v>11332493</v>
      </c>
      <c r="C92" s="2" t="str">
        <f>"이우림"</f>
        <v>이우림</v>
      </c>
      <c r="D92" s="2" t="str">
        <f>"F"</f>
        <v>F</v>
      </c>
      <c r="E92" s="2" t="str">
        <f>"19980225"</f>
        <v>19980225</v>
      </c>
      <c r="F92" s="2" t="str">
        <f>"26"</f>
        <v>26</v>
      </c>
      <c r="G92" s="2" t="str">
        <f t="shared" si="12"/>
        <v>E78660</v>
      </c>
      <c r="H92" s="2" t="str">
        <f t="shared" si="13"/>
        <v>가톨릭대학교 서울성모병원</v>
      </c>
      <c r="I92" s="2" t="str">
        <f>"배치전"</f>
        <v>배치전</v>
      </c>
    </row>
    <row r="93" spans="1:9" x14ac:dyDescent="0.3">
      <c r="A93" s="2" t="str">
        <f t="shared" si="17"/>
        <v>20240417</v>
      </c>
      <c r="B93" s="2" t="str">
        <f>"11516015"</f>
        <v>11516015</v>
      </c>
      <c r="C93" s="2" t="str">
        <f>"김나영"</f>
        <v>김나영</v>
      </c>
      <c r="D93" s="2" t="str">
        <f>"F"</f>
        <v>F</v>
      </c>
      <c r="E93" s="2" t="str">
        <f>"19950306"</f>
        <v>19950306</v>
      </c>
      <c r="F93" s="2" t="str">
        <f>"29"</f>
        <v>29</v>
      </c>
      <c r="G93" s="2" t="str">
        <f t="shared" si="12"/>
        <v>E78660</v>
      </c>
      <c r="H93" s="2" t="str">
        <f t="shared" si="13"/>
        <v>가톨릭대학교 서울성모병원</v>
      </c>
      <c r="I93" s="2" t="str">
        <f>"배치전"</f>
        <v>배치전</v>
      </c>
    </row>
    <row r="94" spans="1:9" x14ac:dyDescent="0.3">
      <c r="A94" s="2" t="str">
        <f t="shared" si="17"/>
        <v>20240417</v>
      </c>
      <c r="B94" s="2" t="str">
        <f>"25022302"</f>
        <v>25022302</v>
      </c>
      <c r="C94" s="2" t="str">
        <f>"이정원"</f>
        <v>이정원</v>
      </c>
      <c r="D94" s="2" t="str">
        <f>"F"</f>
        <v>F</v>
      </c>
      <c r="E94" s="2" t="str">
        <f>"19920614"</f>
        <v>19920614</v>
      </c>
      <c r="F94" s="2" t="str">
        <f>"31"</f>
        <v>31</v>
      </c>
      <c r="G94" s="2" t="str">
        <f t="shared" si="12"/>
        <v>E78660</v>
      </c>
      <c r="H94" s="2" t="str">
        <f t="shared" si="13"/>
        <v>가톨릭대학교 서울성모병원</v>
      </c>
      <c r="I94" s="2" t="str">
        <f>"배치후"</f>
        <v>배치후</v>
      </c>
    </row>
    <row r="95" spans="1:9" x14ac:dyDescent="0.3">
      <c r="A95" s="2" t="str">
        <f t="shared" si="17"/>
        <v>20240417</v>
      </c>
      <c r="B95" s="2" t="str">
        <f>"25478201"</f>
        <v>25478201</v>
      </c>
      <c r="C95" s="2" t="str">
        <f>"조아라"</f>
        <v>조아라</v>
      </c>
      <c r="D95" s="2" t="str">
        <f>"F"</f>
        <v>F</v>
      </c>
      <c r="E95" s="2" t="str">
        <f>"19900516"</f>
        <v>19900516</v>
      </c>
      <c r="F95" s="2" t="str">
        <f>"33"</f>
        <v>33</v>
      </c>
      <c r="G95" s="2" t="str">
        <f t="shared" si="12"/>
        <v>E78660</v>
      </c>
      <c r="H95" s="2" t="str">
        <f t="shared" si="13"/>
        <v>가톨릭대학교 서울성모병원</v>
      </c>
      <c r="I95" s="2" t="str">
        <f>"배치전"</f>
        <v>배치전</v>
      </c>
    </row>
    <row r="96" spans="1:9" x14ac:dyDescent="0.3">
      <c r="A96" s="2" t="str">
        <f t="shared" si="17"/>
        <v>20240417</v>
      </c>
      <c r="B96" s="2" t="str">
        <f>"29642564"</f>
        <v>29642564</v>
      </c>
      <c r="C96" s="2" t="str">
        <f>"이용빈"</f>
        <v>이용빈</v>
      </c>
      <c r="D96" s="2" t="str">
        <f>"M"</f>
        <v>M</v>
      </c>
      <c r="E96" s="2" t="str">
        <f>"19970827"</f>
        <v>19970827</v>
      </c>
      <c r="F96" s="2" t="str">
        <f>"26"</f>
        <v>26</v>
      </c>
      <c r="G96" s="2" t="str">
        <f t="shared" si="12"/>
        <v>E78660</v>
      </c>
      <c r="H96" s="2" t="str">
        <f t="shared" si="13"/>
        <v>가톨릭대학교 서울성모병원</v>
      </c>
      <c r="I96" s="2" t="str">
        <f>"배치전"</f>
        <v>배치전</v>
      </c>
    </row>
    <row r="97" spans="1:9" x14ac:dyDescent="0.3">
      <c r="A97" s="2" t="str">
        <f t="shared" si="17"/>
        <v>20240417</v>
      </c>
      <c r="B97" s="2" t="str">
        <f>"36291256"</f>
        <v>36291256</v>
      </c>
      <c r="C97" s="2" t="str">
        <f>"임지현"</f>
        <v>임지현</v>
      </c>
      <c r="D97" s="2" t="str">
        <f>"F"</f>
        <v>F</v>
      </c>
      <c r="E97" s="2" t="str">
        <f>"19970606"</f>
        <v>19970606</v>
      </c>
      <c r="F97" s="2" t="str">
        <f>"26"</f>
        <v>26</v>
      </c>
      <c r="G97" s="2" t="str">
        <f t="shared" si="12"/>
        <v>E78660</v>
      </c>
      <c r="H97" s="2" t="str">
        <f t="shared" si="13"/>
        <v>가톨릭대학교 서울성모병원</v>
      </c>
      <c r="I97" s="2" t="str">
        <f>"배치후"</f>
        <v>배치후</v>
      </c>
    </row>
    <row r="98" spans="1:9" x14ac:dyDescent="0.3">
      <c r="A98" s="2" t="str">
        <f t="shared" si="17"/>
        <v>20240417</v>
      </c>
      <c r="B98" s="2" t="str">
        <f>"37362494"</f>
        <v>37362494</v>
      </c>
      <c r="C98" s="2" t="str">
        <f>"송병진"</f>
        <v>송병진</v>
      </c>
      <c r="D98" s="2" t="str">
        <f>"M"</f>
        <v>M</v>
      </c>
      <c r="E98" s="2" t="str">
        <f>"19901022"</f>
        <v>19901022</v>
      </c>
      <c r="F98" s="2" t="str">
        <f>"33"</f>
        <v>33</v>
      </c>
      <c r="G98" s="2" t="str">
        <f t="shared" si="12"/>
        <v>E78660</v>
      </c>
      <c r="H98" s="2" t="str">
        <f t="shared" si="13"/>
        <v>가톨릭대학교 서울성모병원</v>
      </c>
      <c r="I98" s="2" t="str">
        <f>"배치전"</f>
        <v>배치전</v>
      </c>
    </row>
    <row r="99" spans="1:9" x14ac:dyDescent="0.3">
      <c r="A99" s="2" t="str">
        <f t="shared" si="17"/>
        <v>20240417</v>
      </c>
      <c r="B99" s="2" t="str">
        <f>"38605762"</f>
        <v>38605762</v>
      </c>
      <c r="C99" s="2" t="str">
        <f>"박근혁"</f>
        <v>박근혁</v>
      </c>
      <c r="D99" s="2" t="str">
        <f>"M"</f>
        <v>M</v>
      </c>
      <c r="E99" s="2" t="str">
        <f>"19990113"</f>
        <v>19990113</v>
      </c>
      <c r="F99" s="2" t="str">
        <f>"25"</f>
        <v>25</v>
      </c>
      <c r="G99" s="2" t="str">
        <f t="shared" si="12"/>
        <v>E78660</v>
      </c>
      <c r="H99" s="2" t="str">
        <f t="shared" si="13"/>
        <v>가톨릭대학교 서울성모병원</v>
      </c>
      <c r="I99" s="2" t="str">
        <f>"배치후"</f>
        <v>배치후</v>
      </c>
    </row>
    <row r="100" spans="1:9" x14ac:dyDescent="0.3">
      <c r="A100" s="2" t="str">
        <f t="shared" si="17"/>
        <v>20240417</v>
      </c>
      <c r="B100" s="2" t="str">
        <f>"38929913"</f>
        <v>38929913</v>
      </c>
      <c r="C100" s="2" t="str">
        <f>"조미령"</f>
        <v>조미령</v>
      </c>
      <c r="D100" s="2" t="str">
        <f>"F"</f>
        <v>F</v>
      </c>
      <c r="E100" s="2" t="str">
        <f>"19890402"</f>
        <v>19890402</v>
      </c>
      <c r="F100" s="2" t="str">
        <f>"35"</f>
        <v>35</v>
      </c>
      <c r="G100" s="2" t="str">
        <f t="shared" si="12"/>
        <v>E78660</v>
      </c>
      <c r="H100" s="2" t="str">
        <f t="shared" si="13"/>
        <v>가톨릭대학교 서울성모병원</v>
      </c>
      <c r="I100" s="2" t="str">
        <f>"배치전"</f>
        <v>배치전</v>
      </c>
    </row>
    <row r="101" spans="1:9" x14ac:dyDescent="0.3">
      <c r="A101" s="2" t="str">
        <f t="shared" si="17"/>
        <v>20240417</v>
      </c>
      <c r="B101" s="2" t="str">
        <f>"39137966"</f>
        <v>39137966</v>
      </c>
      <c r="C101" s="2" t="str">
        <f>"박수진"</f>
        <v>박수진</v>
      </c>
      <c r="D101" s="2" t="str">
        <f>"F"</f>
        <v>F</v>
      </c>
      <c r="E101" s="2" t="str">
        <f>"19991217"</f>
        <v>19991217</v>
      </c>
      <c r="F101" s="2" t="str">
        <f>"24"</f>
        <v>24</v>
      </c>
      <c r="G101" s="2" t="str">
        <f t="shared" si="12"/>
        <v>E78660</v>
      </c>
      <c r="H101" s="2" t="str">
        <f t="shared" si="13"/>
        <v>가톨릭대학교 서울성모병원</v>
      </c>
      <c r="I101" s="2" t="str">
        <f>"배치후"</f>
        <v>배치후</v>
      </c>
    </row>
    <row r="102" spans="1:9" x14ac:dyDescent="0.3">
      <c r="A102" s="2" t="str">
        <f t="shared" si="17"/>
        <v>20240417</v>
      </c>
      <c r="B102" s="2" t="str">
        <f>"39230076"</f>
        <v>39230076</v>
      </c>
      <c r="C102" s="2" t="str">
        <f>"김성원"</f>
        <v>김성원</v>
      </c>
      <c r="D102" s="2" t="str">
        <f>"M"</f>
        <v>M</v>
      </c>
      <c r="E102" s="2" t="str">
        <f>"19990112"</f>
        <v>19990112</v>
      </c>
      <c r="F102" s="2" t="str">
        <f>"25"</f>
        <v>25</v>
      </c>
      <c r="G102" s="2" t="str">
        <f t="shared" si="12"/>
        <v>E78660</v>
      </c>
      <c r="H102" s="2" t="str">
        <f t="shared" si="13"/>
        <v>가톨릭대학교 서울성모병원</v>
      </c>
      <c r="I102" s="2" t="str">
        <f>"배치후"</f>
        <v>배치후</v>
      </c>
    </row>
    <row r="103" spans="1:9" x14ac:dyDescent="0.3">
      <c r="A103" s="2" t="str">
        <f t="shared" si="17"/>
        <v>20240417</v>
      </c>
      <c r="B103" s="2" t="str">
        <f>"39508783"</f>
        <v>39508783</v>
      </c>
      <c r="C103" s="2" t="str">
        <f>"김서현"</f>
        <v>김서현</v>
      </c>
      <c r="D103" s="2" t="str">
        <f t="shared" ref="D103:D108" si="18">"F"</f>
        <v>F</v>
      </c>
      <c r="E103" s="2" t="str">
        <f>"19981215"</f>
        <v>19981215</v>
      </c>
      <c r="F103" s="2" t="str">
        <f>"25"</f>
        <v>25</v>
      </c>
      <c r="G103" s="2" t="str">
        <f t="shared" si="12"/>
        <v>E78660</v>
      </c>
      <c r="H103" s="2" t="str">
        <f t="shared" si="13"/>
        <v>가톨릭대학교 서울성모병원</v>
      </c>
      <c r="I103" s="2" t="str">
        <f t="shared" ref="I103:I108" si="19">"배치전"</f>
        <v>배치전</v>
      </c>
    </row>
    <row r="104" spans="1:9" x14ac:dyDescent="0.3">
      <c r="A104" s="2" t="str">
        <f t="shared" ref="A104:A113" si="20">"20240424"</f>
        <v>20240424</v>
      </c>
      <c r="B104" s="2" t="str">
        <f>"33448554"</f>
        <v>33448554</v>
      </c>
      <c r="C104" s="2" t="str">
        <f>"정유빈"</f>
        <v>정유빈</v>
      </c>
      <c r="D104" s="2" t="str">
        <f t="shared" si="18"/>
        <v>F</v>
      </c>
      <c r="E104" s="2" t="str">
        <f>"20010216"</f>
        <v>20010216</v>
      </c>
      <c r="F104" s="2" t="str">
        <f>"23"</f>
        <v>23</v>
      </c>
      <c r="G104" s="2" t="str">
        <f t="shared" si="12"/>
        <v>E78660</v>
      </c>
      <c r="H104" s="2" t="str">
        <f t="shared" si="13"/>
        <v>가톨릭대학교 서울성모병원</v>
      </c>
      <c r="I104" s="2" t="str">
        <f t="shared" si="19"/>
        <v>배치전</v>
      </c>
    </row>
    <row r="105" spans="1:9" x14ac:dyDescent="0.3">
      <c r="A105" s="2" t="str">
        <f t="shared" si="20"/>
        <v>20240424</v>
      </c>
      <c r="B105" s="2" t="str">
        <f>"34714531"</f>
        <v>34714531</v>
      </c>
      <c r="C105" s="2" t="str">
        <f>"홍상희"</f>
        <v>홍상희</v>
      </c>
      <c r="D105" s="2" t="str">
        <f t="shared" si="18"/>
        <v>F</v>
      </c>
      <c r="E105" s="2" t="str">
        <f>"19930110"</f>
        <v>19930110</v>
      </c>
      <c r="F105" s="2" t="str">
        <f>"31"</f>
        <v>31</v>
      </c>
      <c r="G105" s="2" t="str">
        <f t="shared" si="12"/>
        <v>E78660</v>
      </c>
      <c r="H105" s="2" t="str">
        <f t="shared" si="13"/>
        <v>가톨릭대학교 서울성모병원</v>
      </c>
      <c r="I105" s="2" t="str">
        <f t="shared" si="19"/>
        <v>배치전</v>
      </c>
    </row>
    <row r="106" spans="1:9" x14ac:dyDescent="0.3">
      <c r="A106" s="2" t="str">
        <f t="shared" si="20"/>
        <v>20240424</v>
      </c>
      <c r="B106" s="2" t="str">
        <f>"38324424"</f>
        <v>38324424</v>
      </c>
      <c r="C106" s="2" t="str">
        <f>"김수빈"</f>
        <v>김수빈</v>
      </c>
      <c r="D106" s="2" t="str">
        <f t="shared" si="18"/>
        <v>F</v>
      </c>
      <c r="E106" s="2" t="str">
        <f>"19960406"</f>
        <v>19960406</v>
      </c>
      <c r="F106" s="2" t="str">
        <f>"28"</f>
        <v>28</v>
      </c>
      <c r="G106" s="2" t="str">
        <f t="shared" si="12"/>
        <v>E78660</v>
      </c>
      <c r="H106" s="2" t="str">
        <f t="shared" si="13"/>
        <v>가톨릭대학교 서울성모병원</v>
      </c>
      <c r="I106" s="2" t="str">
        <f t="shared" si="19"/>
        <v>배치전</v>
      </c>
    </row>
    <row r="107" spans="1:9" x14ac:dyDescent="0.3">
      <c r="A107" s="2" t="str">
        <f t="shared" si="20"/>
        <v>20240424</v>
      </c>
      <c r="B107" s="2" t="str">
        <f>"38799873"</f>
        <v>38799873</v>
      </c>
      <c r="C107" s="2" t="str">
        <f>"박서연"</f>
        <v>박서연</v>
      </c>
      <c r="D107" s="2" t="str">
        <f t="shared" si="18"/>
        <v>F</v>
      </c>
      <c r="E107" s="2" t="str">
        <f>"19971029"</f>
        <v>19971029</v>
      </c>
      <c r="F107" s="2" t="str">
        <f>"26"</f>
        <v>26</v>
      </c>
      <c r="G107" s="2" t="str">
        <f t="shared" si="12"/>
        <v>E78660</v>
      </c>
      <c r="H107" s="2" t="str">
        <f t="shared" si="13"/>
        <v>가톨릭대학교 서울성모병원</v>
      </c>
      <c r="I107" s="2" t="str">
        <f t="shared" si="19"/>
        <v>배치전</v>
      </c>
    </row>
    <row r="108" spans="1:9" x14ac:dyDescent="0.3">
      <c r="A108" s="2" t="str">
        <f t="shared" si="20"/>
        <v>20240424</v>
      </c>
      <c r="B108" s="2" t="str">
        <f>"38928783"</f>
        <v>38928783</v>
      </c>
      <c r="C108" s="2" t="str">
        <f>"김은서"</f>
        <v>김은서</v>
      </c>
      <c r="D108" s="2" t="str">
        <f t="shared" si="18"/>
        <v>F</v>
      </c>
      <c r="E108" s="2" t="str">
        <f>"20000429"</f>
        <v>20000429</v>
      </c>
      <c r="F108" s="2" t="str">
        <f>"24"</f>
        <v>24</v>
      </c>
      <c r="G108" s="2" t="str">
        <f t="shared" si="12"/>
        <v>E78660</v>
      </c>
      <c r="H108" s="2" t="str">
        <f t="shared" si="13"/>
        <v>가톨릭대학교 서울성모병원</v>
      </c>
      <c r="I108" s="2" t="str">
        <f t="shared" si="19"/>
        <v>배치전</v>
      </c>
    </row>
    <row r="109" spans="1:9" x14ac:dyDescent="0.3">
      <c r="A109" s="2" t="str">
        <f t="shared" si="20"/>
        <v>20240424</v>
      </c>
      <c r="B109" s="2" t="str">
        <f>"39157904"</f>
        <v>39157904</v>
      </c>
      <c r="C109" s="2" t="str">
        <f>"김정률"</f>
        <v>김정률</v>
      </c>
      <c r="D109" s="2" t="str">
        <f>"M"</f>
        <v>M</v>
      </c>
      <c r="E109" s="2" t="str">
        <f>"19980616"</f>
        <v>19980616</v>
      </c>
      <c r="F109" s="2" t="str">
        <f>"25"</f>
        <v>25</v>
      </c>
      <c r="G109" s="2" t="str">
        <f t="shared" si="12"/>
        <v>E78660</v>
      </c>
      <c r="H109" s="2" t="str">
        <f t="shared" si="13"/>
        <v>가톨릭대학교 서울성모병원</v>
      </c>
      <c r="I109" s="2" t="str">
        <f>"배치후"</f>
        <v>배치후</v>
      </c>
    </row>
    <row r="110" spans="1:9" x14ac:dyDescent="0.3">
      <c r="A110" s="2" t="str">
        <f t="shared" si="20"/>
        <v>20240424</v>
      </c>
      <c r="B110" s="2" t="str">
        <f>"39417393"</f>
        <v>39417393</v>
      </c>
      <c r="C110" s="2" t="str">
        <f>"이용민"</f>
        <v>이용민</v>
      </c>
      <c r="D110" s="2" t="str">
        <f>"M"</f>
        <v>M</v>
      </c>
      <c r="E110" s="2" t="str">
        <f>"19980504"</f>
        <v>19980504</v>
      </c>
      <c r="F110" s="2" t="str">
        <f>"25"</f>
        <v>25</v>
      </c>
      <c r="G110" s="2" t="str">
        <f t="shared" si="12"/>
        <v>E78660</v>
      </c>
      <c r="H110" s="2" t="str">
        <f t="shared" si="13"/>
        <v>가톨릭대학교 서울성모병원</v>
      </c>
      <c r="I110" s="2" t="str">
        <f>"배치전"</f>
        <v>배치전</v>
      </c>
    </row>
    <row r="111" spans="1:9" x14ac:dyDescent="0.3">
      <c r="A111" s="2" t="str">
        <f t="shared" si="20"/>
        <v>20240424</v>
      </c>
      <c r="B111" s="2" t="str">
        <f>"39758871"</f>
        <v>39758871</v>
      </c>
      <c r="C111" s="2" t="str">
        <f>"김명승"</f>
        <v>김명승</v>
      </c>
      <c r="D111" s="2" t="str">
        <f>"M"</f>
        <v>M</v>
      </c>
      <c r="E111" s="2" t="str">
        <f>"20000222"</f>
        <v>20000222</v>
      </c>
      <c r="F111" s="2" t="str">
        <f>"24"</f>
        <v>24</v>
      </c>
      <c r="G111" s="2" t="str">
        <f t="shared" si="12"/>
        <v>E78660</v>
      </c>
      <c r="H111" s="2" t="str">
        <f t="shared" si="13"/>
        <v>가톨릭대학교 서울성모병원</v>
      </c>
      <c r="I111" s="2" t="str">
        <f>"배치전"</f>
        <v>배치전</v>
      </c>
    </row>
    <row r="112" spans="1:9" x14ac:dyDescent="0.3">
      <c r="A112" s="2" t="str">
        <f t="shared" si="20"/>
        <v>20240424</v>
      </c>
      <c r="B112" s="2" t="str">
        <f>"39775351"</f>
        <v>39775351</v>
      </c>
      <c r="C112" s="2" t="str">
        <f>"강윤아"</f>
        <v>강윤아</v>
      </c>
      <c r="D112" s="2" t="str">
        <f>"F"</f>
        <v>F</v>
      </c>
      <c r="E112" s="2" t="str">
        <f>"19950315"</f>
        <v>19950315</v>
      </c>
      <c r="F112" s="2" t="str">
        <f>"29"</f>
        <v>29</v>
      </c>
      <c r="G112" s="2" t="str">
        <f t="shared" si="12"/>
        <v>E78660</v>
      </c>
      <c r="H112" s="2" t="str">
        <f t="shared" si="13"/>
        <v>가톨릭대학교 서울성모병원</v>
      </c>
      <c r="I112" s="2" t="str">
        <f>"배치전"</f>
        <v>배치전</v>
      </c>
    </row>
    <row r="113" spans="1:9" x14ac:dyDescent="0.3">
      <c r="A113" s="2" t="str">
        <f t="shared" si="20"/>
        <v>20240424</v>
      </c>
      <c r="B113" s="2" t="str">
        <f>"39775360"</f>
        <v>39775360</v>
      </c>
      <c r="C113" s="2" t="str">
        <f>"최은아"</f>
        <v>최은아</v>
      </c>
      <c r="D113" s="2" t="str">
        <f>"F"</f>
        <v>F</v>
      </c>
      <c r="E113" s="2" t="str">
        <f>"19960821"</f>
        <v>19960821</v>
      </c>
      <c r="F113" s="2" t="str">
        <f>"27"</f>
        <v>27</v>
      </c>
      <c r="G113" s="2" t="str">
        <f t="shared" si="12"/>
        <v>E78660</v>
      </c>
      <c r="H113" s="2" t="str">
        <f t="shared" si="13"/>
        <v>가톨릭대학교 서울성모병원</v>
      </c>
      <c r="I113" s="2" t="str">
        <f>"배치전"</f>
        <v>배치전</v>
      </c>
    </row>
    <row r="114" spans="1:9" x14ac:dyDescent="0.3">
      <c r="A114" s="2" t="str">
        <f>"20240521"</f>
        <v>20240521</v>
      </c>
      <c r="B114" s="2" t="str">
        <f>"37809844"</f>
        <v>37809844</v>
      </c>
      <c r="C114" s="2" t="str">
        <f>"한지연"</f>
        <v>한지연</v>
      </c>
      <c r="D114" s="2" t="str">
        <f>"F"</f>
        <v>F</v>
      </c>
      <c r="E114" s="2" t="str">
        <f>"19970217"</f>
        <v>19970217</v>
      </c>
      <c r="F114" s="2" t="str">
        <f>"27"</f>
        <v>27</v>
      </c>
      <c r="G114" s="2" t="str">
        <f t="shared" si="12"/>
        <v>E78660</v>
      </c>
      <c r="H114" s="2" t="str">
        <f t="shared" si="13"/>
        <v>가톨릭대학교 서울성모병원</v>
      </c>
      <c r="I114" s="2" t="str">
        <f>"배치후"</f>
        <v>배치후</v>
      </c>
    </row>
    <row r="115" spans="1:9" x14ac:dyDescent="0.3">
      <c r="A115" s="2" t="str">
        <f>"20240521"</f>
        <v>20240521</v>
      </c>
      <c r="B115" s="2" t="str">
        <f>"39157893"</f>
        <v>39157893</v>
      </c>
      <c r="C115" s="2" t="str">
        <f>"정민주"</f>
        <v>정민주</v>
      </c>
      <c r="D115" s="2" t="str">
        <f>"F"</f>
        <v>F</v>
      </c>
      <c r="E115" s="2" t="str">
        <f>"19940624"</f>
        <v>19940624</v>
      </c>
      <c r="F115" s="2" t="str">
        <f>"29"</f>
        <v>29</v>
      </c>
      <c r="G115" s="2" t="str">
        <f t="shared" si="12"/>
        <v>E78660</v>
      </c>
      <c r="H115" s="2" t="str">
        <f t="shared" si="13"/>
        <v>가톨릭대학교 서울성모병원</v>
      </c>
      <c r="I115" s="2" t="str">
        <f>"배치후"</f>
        <v>배치후</v>
      </c>
    </row>
    <row r="116" spans="1:9" x14ac:dyDescent="0.3">
      <c r="A116" s="2" t="str">
        <f>"20240521"</f>
        <v>20240521</v>
      </c>
      <c r="B116" s="2" t="str">
        <f>"39850053"</f>
        <v>39850053</v>
      </c>
      <c r="C116" s="2" t="str">
        <f>"이승재"</f>
        <v>이승재</v>
      </c>
      <c r="D116" s="2" t="str">
        <f>"M"</f>
        <v>M</v>
      </c>
      <c r="E116" s="2" t="str">
        <f>"19960629"</f>
        <v>19960629</v>
      </c>
      <c r="F116" s="2" t="str">
        <f>"27"</f>
        <v>27</v>
      </c>
      <c r="G116" s="2" t="str">
        <f t="shared" si="12"/>
        <v>E78660</v>
      </c>
      <c r="H116" s="2" t="str">
        <f t="shared" si="13"/>
        <v>가톨릭대학교 서울성모병원</v>
      </c>
      <c r="I116" s="2" t="str">
        <f>"배치전"</f>
        <v>배치전</v>
      </c>
    </row>
    <row r="117" spans="1:9" x14ac:dyDescent="0.3">
      <c r="A117" s="2" t="str">
        <f>"20240521"</f>
        <v>20240521</v>
      </c>
      <c r="B117" s="2" t="str">
        <f>"39866133"</f>
        <v>39866133</v>
      </c>
      <c r="C117" s="2" t="str">
        <f>"박현진"</f>
        <v>박현진</v>
      </c>
      <c r="D117" s="2" t="str">
        <f>"F"</f>
        <v>F</v>
      </c>
      <c r="E117" s="2" t="str">
        <f>"19970820"</f>
        <v>19970820</v>
      </c>
      <c r="F117" s="2" t="str">
        <f>"26"</f>
        <v>26</v>
      </c>
      <c r="G117" s="2" t="str">
        <f t="shared" si="12"/>
        <v>E78660</v>
      </c>
      <c r="H117" s="2" t="str">
        <f t="shared" si="13"/>
        <v>가톨릭대학교 서울성모병원</v>
      </c>
      <c r="I117" s="2" t="str">
        <f>"배치전"</f>
        <v>배치전</v>
      </c>
    </row>
    <row r="118" spans="1:9" x14ac:dyDescent="0.3">
      <c r="A118" s="2" t="str">
        <f t="shared" ref="A118:A129" si="21">"20240522"</f>
        <v>20240522</v>
      </c>
      <c r="B118" s="2" t="str">
        <f>"14494904"</f>
        <v>14494904</v>
      </c>
      <c r="C118" s="2" t="str">
        <f>"김수연"</f>
        <v>김수연</v>
      </c>
      <c r="D118" s="2" t="str">
        <f>"F"</f>
        <v>F</v>
      </c>
      <c r="E118" s="2" t="str">
        <f>"19961026"</f>
        <v>19961026</v>
      </c>
      <c r="F118" s="2" t="str">
        <f>"27"</f>
        <v>27</v>
      </c>
      <c r="G118" s="2" t="str">
        <f t="shared" si="12"/>
        <v>E78660</v>
      </c>
      <c r="H118" s="2" t="str">
        <f t="shared" si="13"/>
        <v>가톨릭대학교 서울성모병원</v>
      </c>
      <c r="I118" s="2" t="str">
        <f>"배치후"</f>
        <v>배치후</v>
      </c>
    </row>
    <row r="119" spans="1:9" x14ac:dyDescent="0.3">
      <c r="A119" s="2" t="str">
        <f t="shared" si="21"/>
        <v>20240522</v>
      </c>
      <c r="B119" s="2" t="str">
        <f>"14511611"</f>
        <v>14511611</v>
      </c>
      <c r="C119" s="2" t="str">
        <f>"정솔희"</f>
        <v>정솔희</v>
      </c>
      <c r="D119" s="2" t="str">
        <f>"F"</f>
        <v>F</v>
      </c>
      <c r="E119" s="2" t="str">
        <f>"19980210"</f>
        <v>19980210</v>
      </c>
      <c r="F119" s="2" t="str">
        <f>"26"</f>
        <v>26</v>
      </c>
      <c r="G119" s="2" t="str">
        <f t="shared" si="12"/>
        <v>E78660</v>
      </c>
      <c r="H119" s="2" t="str">
        <f t="shared" si="13"/>
        <v>가톨릭대학교 서울성모병원</v>
      </c>
      <c r="I119" s="2" t="str">
        <f>"배치전"</f>
        <v>배치전</v>
      </c>
    </row>
    <row r="120" spans="1:9" x14ac:dyDescent="0.3">
      <c r="A120" s="2" t="str">
        <f t="shared" si="21"/>
        <v>20240522</v>
      </c>
      <c r="B120" s="2" t="str">
        <f>"22321482"</f>
        <v>22321482</v>
      </c>
      <c r="C120" s="2" t="str">
        <f>"한송이"</f>
        <v>한송이</v>
      </c>
      <c r="D120" s="2" t="str">
        <f>"F"</f>
        <v>F</v>
      </c>
      <c r="E120" s="2" t="str">
        <f>"19870206"</f>
        <v>19870206</v>
      </c>
      <c r="F120" s="2" t="str">
        <f>"37"</f>
        <v>37</v>
      </c>
      <c r="G120" s="2" t="str">
        <f t="shared" si="12"/>
        <v>E78660</v>
      </c>
      <c r="H120" s="2" t="str">
        <f t="shared" si="13"/>
        <v>가톨릭대학교 서울성모병원</v>
      </c>
      <c r="I120" s="2" t="str">
        <f>"배치전"</f>
        <v>배치전</v>
      </c>
    </row>
    <row r="121" spans="1:9" x14ac:dyDescent="0.3">
      <c r="A121" s="2" t="str">
        <f t="shared" si="21"/>
        <v>20240522</v>
      </c>
      <c r="B121" s="2" t="str">
        <f>"38871774"</f>
        <v>38871774</v>
      </c>
      <c r="C121" s="2" t="str">
        <f>"김은미"</f>
        <v>김은미</v>
      </c>
      <c r="D121" s="2" t="str">
        <f>"F"</f>
        <v>F</v>
      </c>
      <c r="E121" s="2" t="str">
        <f>"19940809"</f>
        <v>19940809</v>
      </c>
      <c r="F121" s="2" t="str">
        <f>"29"</f>
        <v>29</v>
      </c>
      <c r="G121" s="2" t="str">
        <f t="shared" si="12"/>
        <v>E78660</v>
      </c>
      <c r="H121" s="2" t="str">
        <f t="shared" si="13"/>
        <v>가톨릭대학교 서울성모병원</v>
      </c>
      <c r="I121" s="2" t="str">
        <f>"배치후"</f>
        <v>배치후</v>
      </c>
    </row>
    <row r="122" spans="1:9" x14ac:dyDescent="0.3">
      <c r="A122" s="2" t="str">
        <f t="shared" si="21"/>
        <v>20240522</v>
      </c>
      <c r="B122" s="2" t="str">
        <f>"39245083"</f>
        <v>39245083</v>
      </c>
      <c r="C122" s="2" t="str">
        <f>"남상혁"</f>
        <v>남상혁</v>
      </c>
      <c r="D122" s="2" t="str">
        <f>"M"</f>
        <v>M</v>
      </c>
      <c r="E122" s="2" t="str">
        <f>"19981029"</f>
        <v>19981029</v>
      </c>
      <c r="F122" s="2" t="str">
        <f>"25"</f>
        <v>25</v>
      </c>
      <c r="G122" s="2" t="str">
        <f t="shared" si="12"/>
        <v>E78660</v>
      </c>
      <c r="H122" s="2" t="str">
        <f t="shared" si="13"/>
        <v>가톨릭대학교 서울성모병원</v>
      </c>
      <c r="I122" s="2" t="str">
        <f>"배치후"</f>
        <v>배치후</v>
      </c>
    </row>
    <row r="123" spans="1:9" x14ac:dyDescent="0.3">
      <c r="A123" s="2" t="str">
        <f t="shared" si="21"/>
        <v>20240522</v>
      </c>
      <c r="B123" s="2" t="str">
        <f>"39648862"</f>
        <v>39648862</v>
      </c>
      <c r="C123" s="2" t="str">
        <f>"신예나"</f>
        <v>신예나</v>
      </c>
      <c r="D123" s="2" t="str">
        <f>"F"</f>
        <v>F</v>
      </c>
      <c r="E123" s="2" t="str">
        <f>"19981227"</f>
        <v>19981227</v>
      </c>
      <c r="F123" s="2" t="str">
        <f>"25"</f>
        <v>25</v>
      </c>
      <c r="G123" s="2" t="str">
        <f t="shared" si="12"/>
        <v>E78660</v>
      </c>
      <c r="H123" s="2" t="str">
        <f t="shared" si="13"/>
        <v>가톨릭대학교 서울성모병원</v>
      </c>
      <c r="I123" s="2" t="str">
        <f t="shared" ref="I123:I130" si="22">"배치전"</f>
        <v>배치전</v>
      </c>
    </row>
    <row r="124" spans="1:9" x14ac:dyDescent="0.3">
      <c r="A124" s="2" t="str">
        <f t="shared" si="21"/>
        <v>20240522</v>
      </c>
      <c r="B124" s="2" t="str">
        <f>"39669626"</f>
        <v>39669626</v>
      </c>
      <c r="C124" s="2" t="str">
        <f>"한아현"</f>
        <v>한아현</v>
      </c>
      <c r="D124" s="2" t="str">
        <f>"F"</f>
        <v>F</v>
      </c>
      <c r="E124" s="2" t="str">
        <f>"19970324"</f>
        <v>19970324</v>
      </c>
      <c r="F124" s="2" t="str">
        <f>"27"</f>
        <v>27</v>
      </c>
      <c r="G124" s="2" t="str">
        <f t="shared" si="12"/>
        <v>E78660</v>
      </c>
      <c r="H124" s="2" t="str">
        <f t="shared" si="13"/>
        <v>가톨릭대학교 서울성모병원</v>
      </c>
      <c r="I124" s="2" t="str">
        <f t="shared" si="22"/>
        <v>배치전</v>
      </c>
    </row>
    <row r="125" spans="1:9" x14ac:dyDescent="0.3">
      <c r="A125" s="2" t="str">
        <f t="shared" si="21"/>
        <v>20240522</v>
      </c>
      <c r="B125" s="2" t="str">
        <f>"39682323"</f>
        <v>39682323</v>
      </c>
      <c r="C125" s="2" t="str">
        <f>"신이령"</f>
        <v>신이령</v>
      </c>
      <c r="D125" s="2" t="str">
        <f>"F"</f>
        <v>F</v>
      </c>
      <c r="E125" s="2" t="str">
        <f>"19871117"</f>
        <v>19871117</v>
      </c>
      <c r="F125" s="2" t="str">
        <f>"36"</f>
        <v>36</v>
      </c>
      <c r="G125" s="2" t="str">
        <f t="shared" si="12"/>
        <v>E78660</v>
      </c>
      <c r="H125" s="2" t="str">
        <f t="shared" si="13"/>
        <v>가톨릭대학교 서울성모병원</v>
      </c>
      <c r="I125" s="2" t="str">
        <f t="shared" si="22"/>
        <v>배치전</v>
      </c>
    </row>
    <row r="126" spans="1:9" x14ac:dyDescent="0.3">
      <c r="A126" s="2" t="str">
        <f t="shared" si="21"/>
        <v>20240522</v>
      </c>
      <c r="B126" s="2" t="str">
        <f>"39682350"</f>
        <v>39682350</v>
      </c>
      <c r="C126" s="2" t="str">
        <f>"박하은"</f>
        <v>박하은</v>
      </c>
      <c r="D126" s="2" t="str">
        <f>"F"</f>
        <v>F</v>
      </c>
      <c r="E126" s="2" t="str">
        <f>"19950211"</f>
        <v>19950211</v>
      </c>
      <c r="F126" s="2" t="str">
        <f>"29"</f>
        <v>29</v>
      </c>
      <c r="G126" s="2" t="str">
        <f t="shared" si="12"/>
        <v>E78660</v>
      </c>
      <c r="H126" s="2" t="str">
        <f t="shared" si="13"/>
        <v>가톨릭대학교 서울성모병원</v>
      </c>
      <c r="I126" s="2" t="str">
        <f t="shared" si="22"/>
        <v>배치전</v>
      </c>
    </row>
    <row r="127" spans="1:9" x14ac:dyDescent="0.3">
      <c r="A127" s="2" t="str">
        <f t="shared" si="21"/>
        <v>20240522</v>
      </c>
      <c r="B127" s="2" t="str">
        <f>"39762584"</f>
        <v>39762584</v>
      </c>
      <c r="C127" s="2" t="str">
        <f>"노한슬"</f>
        <v>노한슬</v>
      </c>
      <c r="D127" s="2" t="str">
        <f>"F"</f>
        <v>F</v>
      </c>
      <c r="E127" s="2" t="str">
        <f>"19930722"</f>
        <v>19930722</v>
      </c>
      <c r="F127" s="2" t="str">
        <f>"30"</f>
        <v>30</v>
      </c>
      <c r="G127" s="2" t="str">
        <f t="shared" si="12"/>
        <v>E78660</v>
      </c>
      <c r="H127" s="2" t="str">
        <f t="shared" si="13"/>
        <v>가톨릭대학교 서울성모병원</v>
      </c>
      <c r="I127" s="2" t="str">
        <f t="shared" si="22"/>
        <v>배치전</v>
      </c>
    </row>
    <row r="128" spans="1:9" x14ac:dyDescent="0.3">
      <c r="A128" s="2" t="str">
        <f t="shared" si="21"/>
        <v>20240522</v>
      </c>
      <c r="B128" s="2" t="str">
        <f>"39850071"</f>
        <v>39850071</v>
      </c>
      <c r="C128" s="2" t="str">
        <f>"김종훈"</f>
        <v>김종훈</v>
      </c>
      <c r="D128" s="2" t="str">
        <f>"M"</f>
        <v>M</v>
      </c>
      <c r="E128" s="2" t="str">
        <f>"19870113"</f>
        <v>19870113</v>
      </c>
      <c r="F128" s="2" t="str">
        <f>"37"</f>
        <v>37</v>
      </c>
      <c r="G128" s="2" t="str">
        <f t="shared" si="12"/>
        <v>E78660</v>
      </c>
      <c r="H128" s="2" t="str">
        <f t="shared" si="13"/>
        <v>가톨릭대학교 서울성모병원</v>
      </c>
      <c r="I128" s="2" t="str">
        <f t="shared" si="22"/>
        <v>배치전</v>
      </c>
    </row>
    <row r="129" spans="1:9" x14ac:dyDescent="0.3">
      <c r="A129" s="2" t="str">
        <f t="shared" si="21"/>
        <v>20240522</v>
      </c>
      <c r="B129" s="2" t="str">
        <f>"39858821"</f>
        <v>39858821</v>
      </c>
      <c r="C129" s="2" t="str">
        <f>"정혜령"</f>
        <v>정혜령</v>
      </c>
      <c r="D129" s="2" t="str">
        <f t="shared" ref="D129:D151" si="23">"F"</f>
        <v>F</v>
      </c>
      <c r="E129" s="2" t="str">
        <f>"20001205"</f>
        <v>20001205</v>
      </c>
      <c r="F129" s="2" t="str">
        <f>"23"</f>
        <v>23</v>
      </c>
      <c r="G129" s="2" t="str">
        <f t="shared" si="12"/>
        <v>E78660</v>
      </c>
      <c r="H129" s="2" t="str">
        <f t="shared" si="13"/>
        <v>가톨릭대학교 서울성모병원</v>
      </c>
      <c r="I129" s="2" t="str">
        <f t="shared" si="22"/>
        <v>배치전</v>
      </c>
    </row>
    <row r="130" spans="1:9" x14ac:dyDescent="0.3">
      <c r="A130" s="2" t="str">
        <f>"20240528"</f>
        <v>20240528</v>
      </c>
      <c r="B130" s="2" t="str">
        <f>"23676011"</f>
        <v>23676011</v>
      </c>
      <c r="C130" s="2" t="str">
        <f>"강수인"</f>
        <v>강수인</v>
      </c>
      <c r="D130" s="2" t="str">
        <f t="shared" si="23"/>
        <v>F</v>
      </c>
      <c r="E130" s="2" t="str">
        <f>"19930214"</f>
        <v>19930214</v>
      </c>
      <c r="F130" s="2" t="str">
        <f>"31"</f>
        <v>31</v>
      </c>
      <c r="G130" s="2" t="str">
        <f t="shared" ref="G130:G193" si="24">"E78660"</f>
        <v>E78660</v>
      </c>
      <c r="H130" s="2" t="str">
        <f t="shared" ref="H130:H193" si="25">"가톨릭대학교 서울성모병원"</f>
        <v>가톨릭대학교 서울성모병원</v>
      </c>
      <c r="I130" s="2" t="str">
        <f t="shared" si="22"/>
        <v>배치전</v>
      </c>
    </row>
    <row r="131" spans="1:9" x14ac:dyDescent="0.3">
      <c r="A131" s="2" t="str">
        <f>"20240528"</f>
        <v>20240528</v>
      </c>
      <c r="B131" s="2" t="str">
        <f>"32189122"</f>
        <v>32189122</v>
      </c>
      <c r="C131" s="2" t="str">
        <f>"곽예지"</f>
        <v>곽예지</v>
      </c>
      <c r="D131" s="2" t="str">
        <f t="shared" si="23"/>
        <v>F</v>
      </c>
      <c r="E131" s="2" t="str">
        <f>"19950323"</f>
        <v>19950323</v>
      </c>
      <c r="F131" s="2" t="str">
        <f>"29"</f>
        <v>29</v>
      </c>
      <c r="G131" s="2" t="str">
        <f t="shared" si="24"/>
        <v>E78660</v>
      </c>
      <c r="H131" s="2" t="str">
        <f t="shared" si="25"/>
        <v>가톨릭대학교 서울성모병원</v>
      </c>
      <c r="I131" s="2" t="str">
        <f>"배치후"</f>
        <v>배치후</v>
      </c>
    </row>
    <row r="132" spans="1:9" x14ac:dyDescent="0.3">
      <c r="A132" s="2" t="str">
        <f>"20240528"</f>
        <v>20240528</v>
      </c>
      <c r="B132" s="2" t="str">
        <f>"38871783"</f>
        <v>38871783</v>
      </c>
      <c r="C132" s="2" t="str">
        <f>"김가연"</f>
        <v>김가연</v>
      </c>
      <c r="D132" s="2" t="str">
        <f t="shared" si="23"/>
        <v>F</v>
      </c>
      <c r="E132" s="2" t="str">
        <f>"20000829"</f>
        <v>20000829</v>
      </c>
      <c r="F132" s="2" t="str">
        <f>"23"</f>
        <v>23</v>
      </c>
      <c r="G132" s="2" t="str">
        <f t="shared" si="24"/>
        <v>E78660</v>
      </c>
      <c r="H132" s="2" t="str">
        <f t="shared" si="25"/>
        <v>가톨릭대학교 서울성모병원</v>
      </c>
      <c r="I132" s="2" t="str">
        <f>"배치후"</f>
        <v>배치후</v>
      </c>
    </row>
    <row r="133" spans="1:9" x14ac:dyDescent="0.3">
      <c r="A133" s="2" t="str">
        <f t="shared" ref="A133:A143" si="26">"20240529"</f>
        <v>20240529</v>
      </c>
      <c r="B133" s="2" t="str">
        <f>"11436193"</f>
        <v>11436193</v>
      </c>
      <c r="C133" s="2" t="str">
        <f>"이은수"</f>
        <v>이은수</v>
      </c>
      <c r="D133" s="2" t="str">
        <f t="shared" si="23"/>
        <v>F</v>
      </c>
      <c r="E133" s="2" t="str">
        <f>"19980421"</f>
        <v>19980421</v>
      </c>
      <c r="F133" s="2" t="str">
        <f>"26"</f>
        <v>26</v>
      </c>
      <c r="G133" s="2" t="str">
        <f t="shared" si="24"/>
        <v>E78660</v>
      </c>
      <c r="H133" s="2" t="str">
        <f t="shared" si="25"/>
        <v>가톨릭대학교 서울성모병원</v>
      </c>
      <c r="I133" s="2" t="str">
        <f>"배치전"</f>
        <v>배치전</v>
      </c>
    </row>
    <row r="134" spans="1:9" x14ac:dyDescent="0.3">
      <c r="A134" s="2" t="str">
        <f t="shared" si="26"/>
        <v>20240529</v>
      </c>
      <c r="B134" s="2" t="str">
        <f>"19187728"</f>
        <v>19187728</v>
      </c>
      <c r="C134" s="2" t="str">
        <f>"최고은"</f>
        <v>최고은</v>
      </c>
      <c r="D134" s="2" t="str">
        <f t="shared" si="23"/>
        <v>F</v>
      </c>
      <c r="E134" s="2" t="str">
        <f>"19840907"</f>
        <v>19840907</v>
      </c>
      <c r="F134" s="2" t="str">
        <f>"39"</f>
        <v>39</v>
      </c>
      <c r="G134" s="2" t="str">
        <f t="shared" si="24"/>
        <v>E78660</v>
      </c>
      <c r="H134" s="2" t="str">
        <f t="shared" si="25"/>
        <v>가톨릭대학교 서울성모병원</v>
      </c>
      <c r="I134" s="2" t="str">
        <f>"배치전"</f>
        <v>배치전</v>
      </c>
    </row>
    <row r="135" spans="1:9" x14ac:dyDescent="0.3">
      <c r="A135" s="2" t="str">
        <f t="shared" si="26"/>
        <v>20240529</v>
      </c>
      <c r="B135" s="2" t="str">
        <f>"19229229"</f>
        <v>19229229</v>
      </c>
      <c r="C135" s="2" t="str">
        <f>"박솔빛"</f>
        <v>박솔빛</v>
      </c>
      <c r="D135" s="2" t="str">
        <f t="shared" si="23"/>
        <v>F</v>
      </c>
      <c r="E135" s="2" t="str">
        <f>"19981219"</f>
        <v>19981219</v>
      </c>
      <c r="F135" s="2" t="str">
        <f>"25"</f>
        <v>25</v>
      </c>
      <c r="G135" s="2" t="str">
        <f t="shared" si="24"/>
        <v>E78660</v>
      </c>
      <c r="H135" s="2" t="str">
        <f t="shared" si="25"/>
        <v>가톨릭대학교 서울성모병원</v>
      </c>
      <c r="I135" s="2" t="str">
        <f>"배치전"</f>
        <v>배치전</v>
      </c>
    </row>
    <row r="136" spans="1:9" x14ac:dyDescent="0.3">
      <c r="A136" s="2" t="str">
        <f t="shared" si="26"/>
        <v>20240529</v>
      </c>
      <c r="B136" s="2" t="str">
        <f>"21293960"</f>
        <v>21293960</v>
      </c>
      <c r="C136" s="2" t="str">
        <f>"노혜리"</f>
        <v>노혜리</v>
      </c>
      <c r="D136" s="2" t="str">
        <f t="shared" si="23"/>
        <v>F</v>
      </c>
      <c r="E136" s="2" t="str">
        <f>"19860729"</f>
        <v>19860729</v>
      </c>
      <c r="F136" s="2" t="str">
        <f>"37"</f>
        <v>37</v>
      </c>
      <c r="G136" s="2" t="str">
        <f t="shared" si="24"/>
        <v>E78660</v>
      </c>
      <c r="H136" s="2" t="str">
        <f t="shared" si="25"/>
        <v>가톨릭대학교 서울성모병원</v>
      </c>
      <c r="I136" s="2" t="str">
        <f>"배치후"</f>
        <v>배치후</v>
      </c>
    </row>
    <row r="137" spans="1:9" x14ac:dyDescent="0.3">
      <c r="A137" s="2" t="str">
        <f t="shared" si="26"/>
        <v>20240529</v>
      </c>
      <c r="B137" s="2" t="str">
        <f>"24089924"</f>
        <v>24089924</v>
      </c>
      <c r="C137" s="2" t="str">
        <f>"정보영"</f>
        <v>정보영</v>
      </c>
      <c r="D137" s="2" t="str">
        <f t="shared" si="23"/>
        <v>F</v>
      </c>
      <c r="E137" s="2" t="str">
        <f>"19870304"</f>
        <v>19870304</v>
      </c>
      <c r="F137" s="2" t="str">
        <f>"37"</f>
        <v>37</v>
      </c>
      <c r="G137" s="2" t="str">
        <f t="shared" si="24"/>
        <v>E78660</v>
      </c>
      <c r="H137" s="2" t="str">
        <f t="shared" si="25"/>
        <v>가톨릭대학교 서울성모병원</v>
      </c>
      <c r="I137" s="2" t="str">
        <f t="shared" ref="I137:I143" si="27">"배치전"</f>
        <v>배치전</v>
      </c>
    </row>
    <row r="138" spans="1:9" x14ac:dyDescent="0.3">
      <c r="A138" s="2" t="str">
        <f t="shared" si="26"/>
        <v>20240529</v>
      </c>
      <c r="B138" s="2" t="str">
        <f>"25642255"</f>
        <v>25642255</v>
      </c>
      <c r="C138" s="2" t="str">
        <f>"홍윤경"</f>
        <v>홍윤경</v>
      </c>
      <c r="D138" s="2" t="str">
        <f t="shared" si="23"/>
        <v>F</v>
      </c>
      <c r="E138" s="2" t="str">
        <f>"19940508"</f>
        <v>19940508</v>
      </c>
      <c r="F138" s="2" t="str">
        <f>"30"</f>
        <v>30</v>
      </c>
      <c r="G138" s="2" t="str">
        <f t="shared" si="24"/>
        <v>E78660</v>
      </c>
      <c r="H138" s="2" t="str">
        <f t="shared" si="25"/>
        <v>가톨릭대학교 서울성모병원</v>
      </c>
      <c r="I138" s="2" t="str">
        <f t="shared" si="27"/>
        <v>배치전</v>
      </c>
    </row>
    <row r="139" spans="1:9" x14ac:dyDescent="0.3">
      <c r="A139" s="2" t="str">
        <f t="shared" si="26"/>
        <v>20240529</v>
      </c>
      <c r="B139" s="2" t="str">
        <f>"35499742"</f>
        <v>35499742</v>
      </c>
      <c r="C139" s="2" t="str">
        <f>"권지혜"</f>
        <v>권지혜</v>
      </c>
      <c r="D139" s="2" t="str">
        <f t="shared" si="23"/>
        <v>F</v>
      </c>
      <c r="E139" s="2" t="str">
        <f>"19971124"</f>
        <v>19971124</v>
      </c>
      <c r="F139" s="2" t="str">
        <f>"26"</f>
        <v>26</v>
      </c>
      <c r="G139" s="2" t="str">
        <f t="shared" si="24"/>
        <v>E78660</v>
      </c>
      <c r="H139" s="2" t="str">
        <f t="shared" si="25"/>
        <v>가톨릭대학교 서울성모병원</v>
      </c>
      <c r="I139" s="2" t="str">
        <f t="shared" si="27"/>
        <v>배치전</v>
      </c>
    </row>
    <row r="140" spans="1:9" x14ac:dyDescent="0.3">
      <c r="A140" s="2" t="str">
        <f t="shared" si="26"/>
        <v>20240529</v>
      </c>
      <c r="B140" s="2" t="str">
        <f>"39648822"</f>
        <v>39648822</v>
      </c>
      <c r="C140" s="2" t="str">
        <f>"임가현"</f>
        <v>임가현</v>
      </c>
      <c r="D140" s="2" t="str">
        <f t="shared" si="23"/>
        <v>F</v>
      </c>
      <c r="E140" s="2" t="str">
        <f>"19970920"</f>
        <v>19970920</v>
      </c>
      <c r="F140" s="2" t="str">
        <f>"26"</f>
        <v>26</v>
      </c>
      <c r="G140" s="2" t="str">
        <f t="shared" si="24"/>
        <v>E78660</v>
      </c>
      <c r="H140" s="2" t="str">
        <f t="shared" si="25"/>
        <v>가톨릭대학교 서울성모병원</v>
      </c>
      <c r="I140" s="2" t="str">
        <f t="shared" si="27"/>
        <v>배치전</v>
      </c>
    </row>
    <row r="141" spans="1:9" x14ac:dyDescent="0.3">
      <c r="A141" s="2" t="str">
        <f t="shared" si="26"/>
        <v>20240529</v>
      </c>
      <c r="B141" s="2" t="str">
        <f>"39648851"</f>
        <v>39648851</v>
      </c>
      <c r="C141" s="2" t="str">
        <f>"장보경"</f>
        <v>장보경</v>
      </c>
      <c r="D141" s="2" t="str">
        <f t="shared" si="23"/>
        <v>F</v>
      </c>
      <c r="E141" s="2" t="str">
        <f>"19971105"</f>
        <v>19971105</v>
      </c>
      <c r="F141" s="2" t="str">
        <f>"26"</f>
        <v>26</v>
      </c>
      <c r="G141" s="2" t="str">
        <f t="shared" si="24"/>
        <v>E78660</v>
      </c>
      <c r="H141" s="2" t="str">
        <f t="shared" si="25"/>
        <v>가톨릭대학교 서울성모병원</v>
      </c>
      <c r="I141" s="2" t="str">
        <f t="shared" si="27"/>
        <v>배치전</v>
      </c>
    </row>
    <row r="142" spans="1:9" x14ac:dyDescent="0.3">
      <c r="A142" s="2" t="str">
        <f t="shared" si="26"/>
        <v>20240529</v>
      </c>
      <c r="B142" s="2" t="str">
        <f>"39682341"</f>
        <v>39682341</v>
      </c>
      <c r="C142" s="2" t="str">
        <f>"서영인"</f>
        <v>서영인</v>
      </c>
      <c r="D142" s="2" t="str">
        <f t="shared" si="23"/>
        <v>F</v>
      </c>
      <c r="E142" s="2" t="str">
        <f>"19890320"</f>
        <v>19890320</v>
      </c>
      <c r="F142" s="2" t="str">
        <f>"35"</f>
        <v>35</v>
      </c>
      <c r="G142" s="2" t="str">
        <f t="shared" si="24"/>
        <v>E78660</v>
      </c>
      <c r="H142" s="2" t="str">
        <f t="shared" si="25"/>
        <v>가톨릭대학교 서울성모병원</v>
      </c>
      <c r="I142" s="2" t="str">
        <f t="shared" si="27"/>
        <v>배치전</v>
      </c>
    </row>
    <row r="143" spans="1:9" x14ac:dyDescent="0.3">
      <c r="A143" s="2" t="str">
        <f t="shared" si="26"/>
        <v>20240529</v>
      </c>
      <c r="B143" s="2" t="str">
        <f>"39884821"</f>
        <v>39884821</v>
      </c>
      <c r="C143" s="2" t="str">
        <f>"신명아"</f>
        <v>신명아</v>
      </c>
      <c r="D143" s="2" t="str">
        <f t="shared" si="23"/>
        <v>F</v>
      </c>
      <c r="E143" s="2" t="str">
        <f>"19920915"</f>
        <v>19920915</v>
      </c>
      <c r="F143" s="2" t="str">
        <f>"31"</f>
        <v>31</v>
      </c>
      <c r="G143" s="2" t="str">
        <f t="shared" si="24"/>
        <v>E78660</v>
      </c>
      <c r="H143" s="2" t="str">
        <f t="shared" si="25"/>
        <v>가톨릭대학교 서울성모병원</v>
      </c>
      <c r="I143" s="2" t="str">
        <f t="shared" si="27"/>
        <v>배치전</v>
      </c>
    </row>
    <row r="144" spans="1:9" x14ac:dyDescent="0.3">
      <c r="A144" s="2" t="str">
        <f t="shared" ref="A144:A152" si="28">"20240603"</f>
        <v>20240603</v>
      </c>
      <c r="B144" s="2" t="str">
        <f>"11402945"</f>
        <v>11402945</v>
      </c>
      <c r="C144" s="2" t="str">
        <f>"김세연"</f>
        <v>김세연</v>
      </c>
      <c r="D144" s="2" t="str">
        <f t="shared" si="23"/>
        <v>F</v>
      </c>
      <c r="E144" s="2" t="str">
        <f>"19750805"</f>
        <v>19750805</v>
      </c>
      <c r="F144" s="2" t="str">
        <f>"48"</f>
        <v>48</v>
      </c>
      <c r="G144" s="2" t="str">
        <f t="shared" si="24"/>
        <v>E78660</v>
      </c>
      <c r="H144" s="2" t="str">
        <f t="shared" si="25"/>
        <v>가톨릭대학교 서울성모병원</v>
      </c>
      <c r="I144" s="2" t="str">
        <f t="shared" ref="I144:I158" si="29">"특수"</f>
        <v>특수</v>
      </c>
    </row>
    <row r="145" spans="1:9" x14ac:dyDescent="0.3">
      <c r="A145" s="2" t="str">
        <f t="shared" si="28"/>
        <v>20240603</v>
      </c>
      <c r="B145" s="2" t="str">
        <f>"15371892"</f>
        <v>15371892</v>
      </c>
      <c r="C145" s="2" t="str">
        <f>"황은화"</f>
        <v>황은화</v>
      </c>
      <c r="D145" s="2" t="str">
        <f t="shared" si="23"/>
        <v>F</v>
      </c>
      <c r="E145" s="2" t="str">
        <f>"19800602"</f>
        <v>19800602</v>
      </c>
      <c r="F145" s="2" t="str">
        <f>"44"</f>
        <v>44</v>
      </c>
      <c r="G145" s="2" t="str">
        <f t="shared" si="24"/>
        <v>E78660</v>
      </c>
      <c r="H145" s="2" t="str">
        <f t="shared" si="25"/>
        <v>가톨릭대학교 서울성모병원</v>
      </c>
      <c r="I145" s="2" t="str">
        <f t="shared" si="29"/>
        <v>특수</v>
      </c>
    </row>
    <row r="146" spans="1:9" x14ac:dyDescent="0.3">
      <c r="A146" s="2" t="str">
        <f t="shared" si="28"/>
        <v>20240603</v>
      </c>
      <c r="B146" s="2" t="str">
        <f>"16406259"</f>
        <v>16406259</v>
      </c>
      <c r="C146" s="2" t="str">
        <f>"김희주"</f>
        <v>김희주</v>
      </c>
      <c r="D146" s="2" t="str">
        <f t="shared" si="23"/>
        <v>F</v>
      </c>
      <c r="E146" s="2" t="str">
        <f>"19790618"</f>
        <v>19790618</v>
      </c>
      <c r="F146" s="2" t="str">
        <f>"44"</f>
        <v>44</v>
      </c>
      <c r="G146" s="2" t="str">
        <f t="shared" si="24"/>
        <v>E78660</v>
      </c>
      <c r="H146" s="2" t="str">
        <f t="shared" si="25"/>
        <v>가톨릭대학교 서울성모병원</v>
      </c>
      <c r="I146" s="2" t="str">
        <f t="shared" si="29"/>
        <v>특수</v>
      </c>
    </row>
    <row r="147" spans="1:9" x14ac:dyDescent="0.3">
      <c r="A147" s="2" t="str">
        <f t="shared" si="28"/>
        <v>20240603</v>
      </c>
      <c r="B147" s="2" t="str">
        <f>"18437657"</f>
        <v>18437657</v>
      </c>
      <c r="C147" s="2" t="str">
        <f>"김선희"</f>
        <v>김선희</v>
      </c>
      <c r="D147" s="2" t="str">
        <f t="shared" si="23"/>
        <v>F</v>
      </c>
      <c r="E147" s="2" t="str">
        <f>"19850204"</f>
        <v>19850204</v>
      </c>
      <c r="F147" s="2" t="str">
        <f>"39"</f>
        <v>39</v>
      </c>
      <c r="G147" s="2" t="str">
        <f t="shared" si="24"/>
        <v>E78660</v>
      </c>
      <c r="H147" s="2" t="str">
        <f t="shared" si="25"/>
        <v>가톨릭대학교 서울성모병원</v>
      </c>
      <c r="I147" s="2" t="str">
        <f t="shared" si="29"/>
        <v>특수</v>
      </c>
    </row>
    <row r="148" spans="1:9" x14ac:dyDescent="0.3">
      <c r="A148" s="2" t="str">
        <f t="shared" si="28"/>
        <v>20240603</v>
      </c>
      <c r="B148" s="2" t="str">
        <f>"19817650"</f>
        <v>19817650</v>
      </c>
      <c r="C148" s="2" t="str">
        <f>"오미란"</f>
        <v>오미란</v>
      </c>
      <c r="D148" s="2" t="str">
        <f t="shared" si="23"/>
        <v>F</v>
      </c>
      <c r="E148" s="2" t="str">
        <f>"19801003"</f>
        <v>19801003</v>
      </c>
      <c r="F148" s="2" t="str">
        <f>"43"</f>
        <v>43</v>
      </c>
      <c r="G148" s="2" t="str">
        <f t="shared" si="24"/>
        <v>E78660</v>
      </c>
      <c r="H148" s="2" t="str">
        <f t="shared" si="25"/>
        <v>가톨릭대학교 서울성모병원</v>
      </c>
      <c r="I148" s="2" t="str">
        <f t="shared" si="29"/>
        <v>특수</v>
      </c>
    </row>
    <row r="149" spans="1:9" x14ac:dyDescent="0.3">
      <c r="A149" s="2" t="str">
        <f t="shared" si="28"/>
        <v>20240603</v>
      </c>
      <c r="B149" s="2" t="str">
        <f>"25152224"</f>
        <v>25152224</v>
      </c>
      <c r="C149" s="2" t="str">
        <f>"박유경"</f>
        <v>박유경</v>
      </c>
      <c r="D149" s="2" t="str">
        <f t="shared" si="23"/>
        <v>F</v>
      </c>
      <c r="E149" s="2" t="str">
        <f>"19801113"</f>
        <v>19801113</v>
      </c>
      <c r="F149" s="2" t="str">
        <f>"43"</f>
        <v>43</v>
      </c>
      <c r="G149" s="2" t="str">
        <f t="shared" si="24"/>
        <v>E78660</v>
      </c>
      <c r="H149" s="2" t="str">
        <f t="shared" si="25"/>
        <v>가톨릭대학교 서울성모병원</v>
      </c>
      <c r="I149" s="2" t="str">
        <f t="shared" si="29"/>
        <v>특수</v>
      </c>
    </row>
    <row r="150" spans="1:9" x14ac:dyDescent="0.3">
      <c r="A150" s="2" t="str">
        <f t="shared" si="28"/>
        <v>20240603</v>
      </c>
      <c r="B150" s="2" t="str">
        <f>"33876004"</f>
        <v>33876004</v>
      </c>
      <c r="C150" s="2" t="str">
        <f>"최석류"</f>
        <v>최석류</v>
      </c>
      <c r="D150" s="2" t="str">
        <f t="shared" si="23"/>
        <v>F</v>
      </c>
      <c r="E150" s="2" t="str">
        <f>"19960206"</f>
        <v>19960206</v>
      </c>
      <c r="F150" s="2" t="str">
        <f>"28"</f>
        <v>28</v>
      </c>
      <c r="G150" s="2" t="str">
        <f t="shared" si="24"/>
        <v>E78660</v>
      </c>
      <c r="H150" s="2" t="str">
        <f t="shared" si="25"/>
        <v>가톨릭대학교 서울성모병원</v>
      </c>
      <c r="I150" s="2" t="str">
        <f t="shared" si="29"/>
        <v>특수</v>
      </c>
    </row>
    <row r="151" spans="1:9" x14ac:dyDescent="0.3">
      <c r="A151" s="2" t="str">
        <f t="shared" si="28"/>
        <v>20240603</v>
      </c>
      <c r="B151" s="2" t="str">
        <f>"35588056"</f>
        <v>35588056</v>
      </c>
      <c r="C151" s="2" t="str">
        <f>"성다은"</f>
        <v>성다은</v>
      </c>
      <c r="D151" s="2" t="str">
        <f t="shared" si="23"/>
        <v>F</v>
      </c>
      <c r="E151" s="2" t="str">
        <f>"19970129"</f>
        <v>19970129</v>
      </c>
      <c r="F151" s="2" t="str">
        <f>"27"</f>
        <v>27</v>
      </c>
      <c r="G151" s="2" t="str">
        <f t="shared" si="24"/>
        <v>E78660</v>
      </c>
      <c r="H151" s="2" t="str">
        <f t="shared" si="25"/>
        <v>가톨릭대학교 서울성모병원</v>
      </c>
      <c r="I151" s="2" t="str">
        <f t="shared" si="29"/>
        <v>특수</v>
      </c>
    </row>
    <row r="152" spans="1:9" x14ac:dyDescent="0.3">
      <c r="A152" s="2" t="str">
        <f t="shared" si="28"/>
        <v>20240603</v>
      </c>
      <c r="B152" s="2" t="str">
        <f>"36716526"</f>
        <v>36716526</v>
      </c>
      <c r="C152" s="2" t="str">
        <f>"손희승"</f>
        <v>손희승</v>
      </c>
      <c r="D152" s="2" t="str">
        <f>"M"</f>
        <v>M</v>
      </c>
      <c r="E152" s="2" t="str">
        <f>"19900320"</f>
        <v>19900320</v>
      </c>
      <c r="F152" s="2" t="str">
        <f>"34"</f>
        <v>34</v>
      </c>
      <c r="G152" s="2" t="str">
        <f t="shared" si="24"/>
        <v>E78660</v>
      </c>
      <c r="H152" s="2" t="str">
        <f t="shared" si="25"/>
        <v>가톨릭대학교 서울성모병원</v>
      </c>
      <c r="I152" s="2" t="str">
        <f t="shared" si="29"/>
        <v>특수</v>
      </c>
    </row>
    <row r="153" spans="1:9" x14ac:dyDescent="0.3">
      <c r="A153" s="2" t="str">
        <f>"20240604"</f>
        <v>20240604</v>
      </c>
      <c r="B153" s="2" t="str">
        <f>"34676412"</f>
        <v>34676412</v>
      </c>
      <c r="C153" s="2" t="str">
        <f>"전자현"</f>
        <v>전자현</v>
      </c>
      <c r="D153" s="2" t="str">
        <f>"F"</f>
        <v>F</v>
      </c>
      <c r="E153" s="2" t="str">
        <f>"19941129"</f>
        <v>19941129</v>
      </c>
      <c r="F153" s="2" t="str">
        <f>"29"</f>
        <v>29</v>
      </c>
      <c r="G153" s="2" t="str">
        <f t="shared" si="24"/>
        <v>E78660</v>
      </c>
      <c r="H153" s="2" t="str">
        <f t="shared" si="25"/>
        <v>가톨릭대학교 서울성모병원</v>
      </c>
      <c r="I153" s="2" t="str">
        <f t="shared" si="29"/>
        <v>특수</v>
      </c>
    </row>
    <row r="154" spans="1:9" x14ac:dyDescent="0.3">
      <c r="A154" s="2" t="str">
        <f t="shared" ref="A154:A162" si="30">"20240605"</f>
        <v>20240605</v>
      </c>
      <c r="B154" s="2" t="str">
        <f>"13693986"</f>
        <v>13693986</v>
      </c>
      <c r="C154" s="2" t="str">
        <f>"정소영"</f>
        <v>정소영</v>
      </c>
      <c r="D154" s="2" t="str">
        <f>"F"</f>
        <v>F</v>
      </c>
      <c r="E154" s="2" t="str">
        <f>"19770312"</f>
        <v>19770312</v>
      </c>
      <c r="F154" s="2" t="str">
        <f>"47"</f>
        <v>47</v>
      </c>
      <c r="G154" s="2" t="str">
        <f t="shared" si="24"/>
        <v>E78660</v>
      </c>
      <c r="H154" s="2" t="str">
        <f t="shared" si="25"/>
        <v>가톨릭대학교 서울성모병원</v>
      </c>
      <c r="I154" s="2" t="str">
        <f t="shared" si="29"/>
        <v>특수</v>
      </c>
    </row>
    <row r="155" spans="1:9" x14ac:dyDescent="0.3">
      <c r="A155" s="2" t="str">
        <f t="shared" si="30"/>
        <v>20240605</v>
      </c>
      <c r="B155" s="2" t="str">
        <f>"19067200"</f>
        <v>19067200</v>
      </c>
      <c r="C155" s="2" t="str">
        <f>"지동근"</f>
        <v>지동근</v>
      </c>
      <c r="D155" s="2" t="str">
        <f>"M"</f>
        <v>M</v>
      </c>
      <c r="E155" s="2" t="str">
        <f>"19700821"</f>
        <v>19700821</v>
      </c>
      <c r="F155" s="2" t="str">
        <f>"53"</f>
        <v>53</v>
      </c>
      <c r="G155" s="2" t="str">
        <f t="shared" si="24"/>
        <v>E78660</v>
      </c>
      <c r="H155" s="2" t="str">
        <f t="shared" si="25"/>
        <v>가톨릭대학교 서울성모병원</v>
      </c>
      <c r="I155" s="2" t="str">
        <f t="shared" si="29"/>
        <v>특수</v>
      </c>
    </row>
    <row r="156" spans="1:9" x14ac:dyDescent="0.3">
      <c r="A156" s="2" t="str">
        <f t="shared" si="30"/>
        <v>20240605</v>
      </c>
      <c r="B156" s="2" t="str">
        <f>"23791256"</f>
        <v>23791256</v>
      </c>
      <c r="C156" s="2" t="str">
        <f>"송성용"</f>
        <v>송성용</v>
      </c>
      <c r="D156" s="2" t="str">
        <f>"M"</f>
        <v>M</v>
      </c>
      <c r="E156" s="2" t="str">
        <f>"19821212"</f>
        <v>19821212</v>
      </c>
      <c r="F156" s="2" t="str">
        <f>"41"</f>
        <v>41</v>
      </c>
      <c r="G156" s="2" t="str">
        <f t="shared" si="24"/>
        <v>E78660</v>
      </c>
      <c r="H156" s="2" t="str">
        <f t="shared" si="25"/>
        <v>가톨릭대학교 서울성모병원</v>
      </c>
      <c r="I156" s="2" t="str">
        <f t="shared" si="29"/>
        <v>특수</v>
      </c>
    </row>
    <row r="157" spans="1:9" x14ac:dyDescent="0.3">
      <c r="A157" s="2" t="str">
        <f t="shared" si="30"/>
        <v>20240605</v>
      </c>
      <c r="B157" s="2" t="str">
        <f>"26352465"</f>
        <v>26352465</v>
      </c>
      <c r="C157" s="2" t="str">
        <f>"방현성"</f>
        <v>방현성</v>
      </c>
      <c r="D157" s="2" t="str">
        <f>"M"</f>
        <v>M</v>
      </c>
      <c r="E157" s="2" t="str">
        <f>"19880504"</f>
        <v>19880504</v>
      </c>
      <c r="F157" s="2" t="str">
        <f>"36"</f>
        <v>36</v>
      </c>
      <c r="G157" s="2" t="str">
        <f t="shared" si="24"/>
        <v>E78660</v>
      </c>
      <c r="H157" s="2" t="str">
        <f t="shared" si="25"/>
        <v>가톨릭대학교 서울성모병원</v>
      </c>
      <c r="I157" s="2" t="str">
        <f t="shared" si="29"/>
        <v>특수</v>
      </c>
    </row>
    <row r="158" spans="1:9" x14ac:dyDescent="0.3">
      <c r="A158" s="2" t="str">
        <f t="shared" si="30"/>
        <v>20240605</v>
      </c>
      <c r="B158" s="2" t="str">
        <f>"38286802"</f>
        <v>38286802</v>
      </c>
      <c r="C158" s="2" t="str">
        <f>"조수영"</f>
        <v>조수영</v>
      </c>
      <c r="D158" s="2" t="str">
        <f>"F"</f>
        <v>F</v>
      </c>
      <c r="E158" s="2" t="str">
        <f>"19970202"</f>
        <v>19970202</v>
      </c>
      <c r="F158" s="2" t="str">
        <f>"27"</f>
        <v>27</v>
      </c>
      <c r="G158" s="2" t="str">
        <f t="shared" si="24"/>
        <v>E78660</v>
      </c>
      <c r="H158" s="2" t="str">
        <f t="shared" si="25"/>
        <v>가톨릭대학교 서울성모병원</v>
      </c>
      <c r="I158" s="2" t="str">
        <f t="shared" si="29"/>
        <v>특수</v>
      </c>
    </row>
    <row r="159" spans="1:9" x14ac:dyDescent="0.3">
      <c r="A159" s="2" t="str">
        <f t="shared" si="30"/>
        <v>20240605</v>
      </c>
      <c r="B159" s="2" t="str">
        <f>"38872065"</f>
        <v>38872065</v>
      </c>
      <c r="C159" s="2" t="str">
        <f>"김소영"</f>
        <v>김소영</v>
      </c>
      <c r="D159" s="2" t="str">
        <f>"F"</f>
        <v>F</v>
      </c>
      <c r="E159" s="2" t="str">
        <f>"20000523"</f>
        <v>20000523</v>
      </c>
      <c r="F159" s="2" t="str">
        <f>"24"</f>
        <v>24</v>
      </c>
      <c r="G159" s="2" t="str">
        <f t="shared" si="24"/>
        <v>E78660</v>
      </c>
      <c r="H159" s="2" t="str">
        <f t="shared" si="25"/>
        <v>가톨릭대학교 서울성모병원</v>
      </c>
      <c r="I159" s="2" t="str">
        <f>"배치후"</f>
        <v>배치후</v>
      </c>
    </row>
    <row r="160" spans="1:9" x14ac:dyDescent="0.3">
      <c r="A160" s="2" t="str">
        <f t="shared" si="30"/>
        <v>20240605</v>
      </c>
      <c r="B160" s="2" t="str">
        <f>"39150331"</f>
        <v>39150331</v>
      </c>
      <c r="C160" s="2" t="str">
        <f>"홍정표"</f>
        <v>홍정표</v>
      </c>
      <c r="D160" s="2" t="str">
        <f>"M"</f>
        <v>M</v>
      </c>
      <c r="E160" s="2" t="str">
        <f>"19991206"</f>
        <v>19991206</v>
      </c>
      <c r="F160" s="2" t="str">
        <f>"24"</f>
        <v>24</v>
      </c>
      <c r="G160" s="2" t="str">
        <f t="shared" si="24"/>
        <v>E78660</v>
      </c>
      <c r="H160" s="2" t="str">
        <f t="shared" si="25"/>
        <v>가톨릭대학교 서울성모병원</v>
      </c>
      <c r="I160" s="2" t="str">
        <f>"배치후"</f>
        <v>배치후</v>
      </c>
    </row>
    <row r="161" spans="1:9" x14ac:dyDescent="0.3">
      <c r="A161" s="2" t="str">
        <f t="shared" si="30"/>
        <v>20240605</v>
      </c>
      <c r="B161" s="2" t="str">
        <f>"7819581"</f>
        <v>7819581</v>
      </c>
      <c r="C161" s="2" t="str">
        <f>"이상윤"</f>
        <v>이상윤</v>
      </c>
      <c r="D161" s="2" t="str">
        <f>"M"</f>
        <v>M</v>
      </c>
      <c r="E161" s="2" t="str">
        <f>"19750322"</f>
        <v>19750322</v>
      </c>
      <c r="F161" s="2" t="str">
        <f>"49"</f>
        <v>49</v>
      </c>
      <c r="G161" s="2" t="str">
        <f t="shared" si="24"/>
        <v>E78660</v>
      </c>
      <c r="H161" s="2" t="str">
        <f t="shared" si="25"/>
        <v>가톨릭대학교 서울성모병원</v>
      </c>
      <c r="I161" s="2" t="str">
        <f t="shared" ref="I161:I178" si="31">"특수"</f>
        <v>특수</v>
      </c>
    </row>
    <row r="162" spans="1:9" x14ac:dyDescent="0.3">
      <c r="A162" s="2" t="str">
        <f t="shared" si="30"/>
        <v>20240605</v>
      </c>
      <c r="B162" s="2" t="str">
        <f>"9550969"</f>
        <v>9550969</v>
      </c>
      <c r="C162" s="2" t="str">
        <f>"김현아"</f>
        <v>김현아</v>
      </c>
      <c r="D162" s="2" t="str">
        <f>"F"</f>
        <v>F</v>
      </c>
      <c r="E162" s="2" t="str">
        <f>"19950220"</f>
        <v>19950220</v>
      </c>
      <c r="F162" s="2" t="str">
        <f>"29"</f>
        <v>29</v>
      </c>
      <c r="G162" s="2" t="str">
        <f t="shared" si="24"/>
        <v>E78660</v>
      </c>
      <c r="H162" s="2" t="str">
        <f t="shared" si="25"/>
        <v>가톨릭대학교 서울성모병원</v>
      </c>
      <c r="I162" s="2" t="str">
        <f t="shared" si="31"/>
        <v>특수</v>
      </c>
    </row>
    <row r="163" spans="1:9" x14ac:dyDescent="0.3">
      <c r="A163" s="2" t="str">
        <f t="shared" ref="A163:A168" si="32">"20240610"</f>
        <v>20240610</v>
      </c>
      <c r="B163" s="2" t="str">
        <f>"19188449"</f>
        <v>19188449</v>
      </c>
      <c r="C163" s="2" t="str">
        <f>"김린용"</f>
        <v>김린용</v>
      </c>
      <c r="D163" s="2" t="str">
        <f>"M"</f>
        <v>M</v>
      </c>
      <c r="E163" s="2" t="str">
        <f>"19810615"</f>
        <v>19810615</v>
      </c>
      <c r="F163" s="2" t="str">
        <f>"43"</f>
        <v>43</v>
      </c>
      <c r="G163" s="2" t="str">
        <f t="shared" si="24"/>
        <v>E78660</v>
      </c>
      <c r="H163" s="2" t="str">
        <f t="shared" si="25"/>
        <v>가톨릭대학교 서울성모병원</v>
      </c>
      <c r="I163" s="2" t="str">
        <f t="shared" si="31"/>
        <v>특수</v>
      </c>
    </row>
    <row r="164" spans="1:9" x14ac:dyDescent="0.3">
      <c r="A164" s="2" t="str">
        <f t="shared" si="32"/>
        <v>20240610</v>
      </c>
      <c r="B164" s="2" t="str">
        <f>"21298223"</f>
        <v>21298223</v>
      </c>
      <c r="C164" s="2" t="str">
        <f>"유옥리"</f>
        <v>유옥리</v>
      </c>
      <c r="D164" s="2" t="str">
        <f t="shared" ref="D164:D181" si="33">"F"</f>
        <v>F</v>
      </c>
      <c r="E164" s="2" t="str">
        <f>"19840301"</f>
        <v>19840301</v>
      </c>
      <c r="F164" s="2" t="str">
        <f>"40"</f>
        <v>40</v>
      </c>
      <c r="G164" s="2" t="str">
        <f t="shared" si="24"/>
        <v>E78660</v>
      </c>
      <c r="H164" s="2" t="str">
        <f t="shared" si="25"/>
        <v>가톨릭대학교 서울성모병원</v>
      </c>
      <c r="I164" s="2" t="str">
        <f t="shared" si="31"/>
        <v>특수</v>
      </c>
    </row>
    <row r="165" spans="1:9" x14ac:dyDescent="0.3">
      <c r="A165" s="2" t="str">
        <f t="shared" si="32"/>
        <v>20240610</v>
      </c>
      <c r="B165" s="2" t="str">
        <f>"25037403"</f>
        <v>25037403</v>
      </c>
      <c r="C165" s="2" t="str">
        <f>"백수연"</f>
        <v>백수연</v>
      </c>
      <c r="D165" s="2" t="str">
        <f t="shared" si="33"/>
        <v>F</v>
      </c>
      <c r="E165" s="2" t="str">
        <f>"19890718"</f>
        <v>19890718</v>
      </c>
      <c r="F165" s="2" t="str">
        <f>"34"</f>
        <v>34</v>
      </c>
      <c r="G165" s="2" t="str">
        <f t="shared" si="24"/>
        <v>E78660</v>
      </c>
      <c r="H165" s="2" t="str">
        <f t="shared" si="25"/>
        <v>가톨릭대학교 서울성모병원</v>
      </c>
      <c r="I165" s="2" t="str">
        <f t="shared" si="31"/>
        <v>특수</v>
      </c>
    </row>
    <row r="166" spans="1:9" x14ac:dyDescent="0.3">
      <c r="A166" s="2" t="str">
        <f t="shared" si="32"/>
        <v>20240610</v>
      </c>
      <c r="B166" s="2" t="str">
        <f>"25252106"</f>
        <v>25252106</v>
      </c>
      <c r="C166" s="2" t="str">
        <f>"곽은영"</f>
        <v>곽은영</v>
      </c>
      <c r="D166" s="2" t="str">
        <f t="shared" si="33"/>
        <v>F</v>
      </c>
      <c r="E166" s="2" t="str">
        <f>"19891210"</f>
        <v>19891210</v>
      </c>
      <c r="F166" s="2" t="str">
        <f>"34"</f>
        <v>34</v>
      </c>
      <c r="G166" s="2" t="str">
        <f t="shared" si="24"/>
        <v>E78660</v>
      </c>
      <c r="H166" s="2" t="str">
        <f t="shared" si="25"/>
        <v>가톨릭대학교 서울성모병원</v>
      </c>
      <c r="I166" s="2" t="str">
        <f t="shared" si="31"/>
        <v>특수</v>
      </c>
    </row>
    <row r="167" spans="1:9" x14ac:dyDescent="0.3">
      <c r="A167" s="2" t="str">
        <f t="shared" si="32"/>
        <v>20240610</v>
      </c>
      <c r="B167" s="2" t="str">
        <f>"27396704"</f>
        <v>27396704</v>
      </c>
      <c r="C167" s="2" t="str">
        <f>"강현선"</f>
        <v>강현선</v>
      </c>
      <c r="D167" s="2" t="str">
        <f t="shared" si="33"/>
        <v>F</v>
      </c>
      <c r="E167" s="2" t="str">
        <f>"19951119"</f>
        <v>19951119</v>
      </c>
      <c r="F167" s="2" t="str">
        <f>"28"</f>
        <v>28</v>
      </c>
      <c r="G167" s="2" t="str">
        <f t="shared" si="24"/>
        <v>E78660</v>
      </c>
      <c r="H167" s="2" t="str">
        <f t="shared" si="25"/>
        <v>가톨릭대학교 서울성모병원</v>
      </c>
      <c r="I167" s="2" t="str">
        <f t="shared" si="31"/>
        <v>특수</v>
      </c>
    </row>
    <row r="168" spans="1:9" x14ac:dyDescent="0.3">
      <c r="A168" s="2" t="str">
        <f t="shared" si="32"/>
        <v>20240610</v>
      </c>
      <c r="B168" s="2" t="str">
        <f>"35480321"</f>
        <v>35480321</v>
      </c>
      <c r="C168" s="2" t="str">
        <f>"권이슬"</f>
        <v>권이슬</v>
      </c>
      <c r="D168" s="2" t="str">
        <f t="shared" si="33"/>
        <v>F</v>
      </c>
      <c r="E168" s="2" t="str">
        <f>"19970307"</f>
        <v>19970307</v>
      </c>
      <c r="F168" s="2" t="str">
        <f>"27"</f>
        <v>27</v>
      </c>
      <c r="G168" s="2" t="str">
        <f t="shared" si="24"/>
        <v>E78660</v>
      </c>
      <c r="H168" s="2" t="str">
        <f t="shared" si="25"/>
        <v>가톨릭대학교 서울성모병원</v>
      </c>
      <c r="I168" s="2" t="str">
        <f t="shared" si="31"/>
        <v>특수</v>
      </c>
    </row>
    <row r="169" spans="1:9" x14ac:dyDescent="0.3">
      <c r="A169" s="2" t="str">
        <f>"20240611"</f>
        <v>20240611</v>
      </c>
      <c r="B169" s="2" t="str">
        <f>"13023138"</f>
        <v>13023138</v>
      </c>
      <c r="C169" s="2" t="str">
        <f>"전성윤"</f>
        <v>전성윤</v>
      </c>
      <c r="D169" s="2" t="str">
        <f t="shared" si="33"/>
        <v>F</v>
      </c>
      <c r="E169" s="2" t="str">
        <f>"19750914"</f>
        <v>19750914</v>
      </c>
      <c r="F169" s="2" t="str">
        <f>"48"</f>
        <v>48</v>
      </c>
      <c r="G169" s="2" t="str">
        <f t="shared" si="24"/>
        <v>E78660</v>
      </c>
      <c r="H169" s="2" t="str">
        <f t="shared" si="25"/>
        <v>가톨릭대학교 서울성모병원</v>
      </c>
      <c r="I169" s="2" t="str">
        <f t="shared" si="31"/>
        <v>특수</v>
      </c>
    </row>
    <row r="170" spans="1:9" x14ac:dyDescent="0.3">
      <c r="A170" s="2" t="str">
        <f>"20240611"</f>
        <v>20240611</v>
      </c>
      <c r="B170" s="2" t="str">
        <f>"22414372"</f>
        <v>22414372</v>
      </c>
      <c r="C170" s="2" t="str">
        <f>"최지은"</f>
        <v>최지은</v>
      </c>
      <c r="D170" s="2" t="str">
        <f t="shared" si="33"/>
        <v>F</v>
      </c>
      <c r="E170" s="2" t="str">
        <f>"19900914"</f>
        <v>19900914</v>
      </c>
      <c r="F170" s="2" t="str">
        <f>"33"</f>
        <v>33</v>
      </c>
      <c r="G170" s="2" t="str">
        <f t="shared" si="24"/>
        <v>E78660</v>
      </c>
      <c r="H170" s="2" t="str">
        <f t="shared" si="25"/>
        <v>가톨릭대학교 서울성모병원</v>
      </c>
      <c r="I170" s="2" t="str">
        <f t="shared" si="31"/>
        <v>특수</v>
      </c>
    </row>
    <row r="171" spans="1:9" x14ac:dyDescent="0.3">
      <c r="A171" s="2" t="str">
        <f>"20240611"</f>
        <v>20240611</v>
      </c>
      <c r="B171" s="2" t="str">
        <f>"25251996"</f>
        <v>25251996</v>
      </c>
      <c r="C171" s="2" t="str">
        <f>"한지은"</f>
        <v>한지은</v>
      </c>
      <c r="D171" s="2" t="str">
        <f t="shared" si="33"/>
        <v>F</v>
      </c>
      <c r="E171" s="2" t="str">
        <f>"19860812"</f>
        <v>19860812</v>
      </c>
      <c r="F171" s="2" t="str">
        <f>"37"</f>
        <v>37</v>
      </c>
      <c r="G171" s="2" t="str">
        <f t="shared" si="24"/>
        <v>E78660</v>
      </c>
      <c r="H171" s="2" t="str">
        <f t="shared" si="25"/>
        <v>가톨릭대학교 서울성모병원</v>
      </c>
      <c r="I171" s="2" t="str">
        <f t="shared" si="31"/>
        <v>특수</v>
      </c>
    </row>
    <row r="172" spans="1:9" x14ac:dyDescent="0.3">
      <c r="A172" s="2" t="str">
        <f>"20240611"</f>
        <v>20240611</v>
      </c>
      <c r="B172" s="2" t="str">
        <f>"36152323"</f>
        <v>36152323</v>
      </c>
      <c r="C172" s="2" t="str">
        <f>"박유리"</f>
        <v>박유리</v>
      </c>
      <c r="D172" s="2" t="str">
        <f t="shared" si="33"/>
        <v>F</v>
      </c>
      <c r="E172" s="2" t="str">
        <f>"19971214"</f>
        <v>19971214</v>
      </c>
      <c r="F172" s="2" t="str">
        <f>"26"</f>
        <v>26</v>
      </c>
      <c r="G172" s="2" t="str">
        <f t="shared" si="24"/>
        <v>E78660</v>
      </c>
      <c r="H172" s="2" t="str">
        <f t="shared" si="25"/>
        <v>가톨릭대학교 서울성모병원</v>
      </c>
      <c r="I172" s="2" t="str">
        <f t="shared" si="31"/>
        <v>특수</v>
      </c>
    </row>
    <row r="173" spans="1:9" x14ac:dyDescent="0.3">
      <c r="A173" s="2" t="str">
        <f>"20240611"</f>
        <v>20240611</v>
      </c>
      <c r="B173" s="2" t="str">
        <f>"38086053"</f>
        <v>38086053</v>
      </c>
      <c r="C173" s="2" t="str">
        <f>"김혜린"</f>
        <v>김혜린</v>
      </c>
      <c r="D173" s="2" t="str">
        <f t="shared" si="33"/>
        <v>F</v>
      </c>
      <c r="E173" s="2" t="str">
        <f>"19970719"</f>
        <v>19970719</v>
      </c>
      <c r="F173" s="2" t="str">
        <f>"26"</f>
        <v>26</v>
      </c>
      <c r="G173" s="2" t="str">
        <f t="shared" si="24"/>
        <v>E78660</v>
      </c>
      <c r="H173" s="2" t="str">
        <f t="shared" si="25"/>
        <v>가톨릭대학교 서울성모병원</v>
      </c>
      <c r="I173" s="2" t="str">
        <f t="shared" si="31"/>
        <v>특수</v>
      </c>
    </row>
    <row r="174" spans="1:9" x14ac:dyDescent="0.3">
      <c r="A174" s="2" t="str">
        <f>"20240612"</f>
        <v>20240612</v>
      </c>
      <c r="B174" s="2" t="str">
        <f>"35988414"</f>
        <v>35988414</v>
      </c>
      <c r="C174" s="2" t="str">
        <f>"홍지회"</f>
        <v>홍지회</v>
      </c>
      <c r="D174" s="2" t="str">
        <f t="shared" si="33"/>
        <v>F</v>
      </c>
      <c r="E174" s="2" t="str">
        <f>"19960408"</f>
        <v>19960408</v>
      </c>
      <c r="F174" s="2" t="str">
        <f>"28"</f>
        <v>28</v>
      </c>
      <c r="G174" s="2" t="str">
        <f t="shared" si="24"/>
        <v>E78660</v>
      </c>
      <c r="H174" s="2" t="str">
        <f t="shared" si="25"/>
        <v>가톨릭대학교 서울성모병원</v>
      </c>
      <c r="I174" s="2" t="str">
        <f t="shared" si="31"/>
        <v>특수</v>
      </c>
    </row>
    <row r="175" spans="1:9" x14ac:dyDescent="0.3">
      <c r="A175" s="2" t="str">
        <f>"20240612"</f>
        <v>20240612</v>
      </c>
      <c r="B175" s="2" t="str">
        <f>"38351653"</f>
        <v>38351653</v>
      </c>
      <c r="C175" s="2" t="str">
        <f>"김의진"</f>
        <v>김의진</v>
      </c>
      <c r="D175" s="2" t="str">
        <f t="shared" si="33"/>
        <v>F</v>
      </c>
      <c r="E175" s="2" t="str">
        <f>"19960122"</f>
        <v>19960122</v>
      </c>
      <c r="F175" s="2" t="str">
        <f>"28"</f>
        <v>28</v>
      </c>
      <c r="G175" s="2" t="str">
        <f t="shared" si="24"/>
        <v>E78660</v>
      </c>
      <c r="H175" s="2" t="str">
        <f t="shared" si="25"/>
        <v>가톨릭대학교 서울성모병원</v>
      </c>
      <c r="I175" s="2" t="str">
        <f t="shared" si="31"/>
        <v>특수</v>
      </c>
    </row>
    <row r="176" spans="1:9" x14ac:dyDescent="0.3">
      <c r="A176" s="2" t="str">
        <f>"20240613"</f>
        <v>20240613</v>
      </c>
      <c r="B176" s="2" t="str">
        <f>"30795943"</f>
        <v>30795943</v>
      </c>
      <c r="C176" s="2" t="str">
        <f>"정예진"</f>
        <v>정예진</v>
      </c>
      <c r="D176" s="2" t="str">
        <f t="shared" si="33"/>
        <v>F</v>
      </c>
      <c r="E176" s="2" t="str">
        <f>"19980105"</f>
        <v>19980105</v>
      </c>
      <c r="F176" s="2" t="str">
        <f>"26"</f>
        <v>26</v>
      </c>
      <c r="G176" s="2" t="str">
        <f t="shared" si="24"/>
        <v>E78660</v>
      </c>
      <c r="H176" s="2" t="str">
        <f t="shared" si="25"/>
        <v>가톨릭대학교 서울성모병원</v>
      </c>
      <c r="I176" s="2" t="str">
        <f t="shared" si="31"/>
        <v>특수</v>
      </c>
    </row>
    <row r="177" spans="1:9" x14ac:dyDescent="0.3">
      <c r="A177" s="2" t="str">
        <f t="shared" ref="A177:A182" si="34">"20240617"</f>
        <v>20240617</v>
      </c>
      <c r="B177" s="2" t="str">
        <f>"18939837"</f>
        <v>18939837</v>
      </c>
      <c r="C177" s="2" t="str">
        <f>"이유선"</f>
        <v>이유선</v>
      </c>
      <c r="D177" s="2" t="str">
        <f t="shared" si="33"/>
        <v>F</v>
      </c>
      <c r="E177" s="2" t="str">
        <f>"19850212"</f>
        <v>19850212</v>
      </c>
      <c r="F177" s="2" t="str">
        <f>"39"</f>
        <v>39</v>
      </c>
      <c r="G177" s="2" t="str">
        <f t="shared" si="24"/>
        <v>E78660</v>
      </c>
      <c r="H177" s="2" t="str">
        <f t="shared" si="25"/>
        <v>가톨릭대학교 서울성모병원</v>
      </c>
      <c r="I177" s="2" t="str">
        <f t="shared" si="31"/>
        <v>특수</v>
      </c>
    </row>
    <row r="178" spans="1:9" x14ac:dyDescent="0.3">
      <c r="A178" s="2" t="str">
        <f t="shared" si="34"/>
        <v>20240617</v>
      </c>
      <c r="B178" s="2" t="str">
        <f>"19975266"</f>
        <v>19975266</v>
      </c>
      <c r="C178" s="2" t="str">
        <f>"한진구"</f>
        <v>한진구</v>
      </c>
      <c r="D178" s="2" t="str">
        <f t="shared" si="33"/>
        <v>F</v>
      </c>
      <c r="E178" s="2" t="str">
        <f>"19691217"</f>
        <v>19691217</v>
      </c>
      <c r="F178" s="2" t="str">
        <f>"54"</f>
        <v>54</v>
      </c>
      <c r="G178" s="2" t="str">
        <f t="shared" si="24"/>
        <v>E78660</v>
      </c>
      <c r="H178" s="2" t="str">
        <f t="shared" si="25"/>
        <v>가톨릭대학교 서울성모병원</v>
      </c>
      <c r="I178" s="2" t="str">
        <f t="shared" si="31"/>
        <v>특수</v>
      </c>
    </row>
    <row r="179" spans="1:9" x14ac:dyDescent="0.3">
      <c r="A179" s="2" t="str">
        <f t="shared" si="34"/>
        <v>20240617</v>
      </c>
      <c r="B179" s="2" t="str">
        <f>"26995320"</f>
        <v>26995320</v>
      </c>
      <c r="C179" s="2" t="str">
        <f>"최민정"</f>
        <v>최민정</v>
      </c>
      <c r="D179" s="2" t="str">
        <f t="shared" si="33"/>
        <v>F</v>
      </c>
      <c r="E179" s="2" t="str">
        <f>"19910804"</f>
        <v>19910804</v>
      </c>
      <c r="F179" s="2" t="str">
        <f>"32"</f>
        <v>32</v>
      </c>
      <c r="G179" s="2" t="str">
        <f t="shared" si="24"/>
        <v>E78660</v>
      </c>
      <c r="H179" s="2" t="str">
        <f t="shared" si="25"/>
        <v>가톨릭대학교 서울성모병원</v>
      </c>
      <c r="I179" s="2" t="str">
        <f>"배치전"</f>
        <v>배치전</v>
      </c>
    </row>
    <row r="180" spans="1:9" x14ac:dyDescent="0.3">
      <c r="A180" s="2" t="str">
        <f t="shared" si="34"/>
        <v>20240617</v>
      </c>
      <c r="B180" s="2" t="str">
        <f>"31944872"</f>
        <v>31944872</v>
      </c>
      <c r="C180" s="2" t="str">
        <f>"강효정"</f>
        <v>강효정</v>
      </c>
      <c r="D180" s="2" t="str">
        <f t="shared" si="33"/>
        <v>F</v>
      </c>
      <c r="E180" s="2" t="str">
        <f>"19910417"</f>
        <v>19910417</v>
      </c>
      <c r="F180" s="2" t="str">
        <f>"33"</f>
        <v>33</v>
      </c>
      <c r="G180" s="2" t="str">
        <f t="shared" si="24"/>
        <v>E78660</v>
      </c>
      <c r="H180" s="2" t="str">
        <f t="shared" si="25"/>
        <v>가톨릭대학교 서울성모병원</v>
      </c>
      <c r="I180" s="2" t="str">
        <f>"특수"</f>
        <v>특수</v>
      </c>
    </row>
    <row r="181" spans="1:9" x14ac:dyDescent="0.3">
      <c r="A181" s="2" t="str">
        <f t="shared" si="34"/>
        <v>20240617</v>
      </c>
      <c r="B181" s="2" t="str">
        <f>"37056125"</f>
        <v>37056125</v>
      </c>
      <c r="C181" s="2" t="str">
        <f>"신혜민"</f>
        <v>신혜민</v>
      </c>
      <c r="D181" s="2" t="str">
        <f t="shared" si="33"/>
        <v>F</v>
      </c>
      <c r="E181" s="2" t="str">
        <f>"19960730"</f>
        <v>19960730</v>
      </c>
      <c r="F181" s="2" t="str">
        <f>"27"</f>
        <v>27</v>
      </c>
      <c r="G181" s="2" t="str">
        <f t="shared" si="24"/>
        <v>E78660</v>
      </c>
      <c r="H181" s="2" t="str">
        <f t="shared" si="25"/>
        <v>가톨릭대학교 서울성모병원</v>
      </c>
      <c r="I181" s="2" t="str">
        <f>"특수"</f>
        <v>특수</v>
      </c>
    </row>
    <row r="182" spans="1:9" x14ac:dyDescent="0.3">
      <c r="A182" s="2" t="str">
        <f t="shared" si="34"/>
        <v>20240617</v>
      </c>
      <c r="B182" s="2" t="str">
        <f>"38391501"</f>
        <v>38391501</v>
      </c>
      <c r="C182" s="2" t="str">
        <f>"김선웅"</f>
        <v>김선웅</v>
      </c>
      <c r="D182" s="2" t="str">
        <f>"M"</f>
        <v>M</v>
      </c>
      <c r="E182" s="2" t="str">
        <f>"19971101"</f>
        <v>19971101</v>
      </c>
      <c r="F182" s="2" t="str">
        <f>"26"</f>
        <v>26</v>
      </c>
      <c r="G182" s="2" t="str">
        <f t="shared" si="24"/>
        <v>E78660</v>
      </c>
      <c r="H182" s="2" t="str">
        <f t="shared" si="25"/>
        <v>가톨릭대학교 서울성모병원</v>
      </c>
      <c r="I182" s="2" t="str">
        <f>"특수"</f>
        <v>특수</v>
      </c>
    </row>
    <row r="183" spans="1:9" x14ac:dyDescent="0.3">
      <c r="A183" s="2" t="str">
        <f>"20240618"</f>
        <v>20240618</v>
      </c>
      <c r="B183" s="2" t="str">
        <f>"14996307"</f>
        <v>14996307</v>
      </c>
      <c r="C183" s="2" t="str">
        <f>"최원진"</f>
        <v>최원진</v>
      </c>
      <c r="D183" s="2" t="str">
        <f t="shared" ref="D183:D188" si="35">"F"</f>
        <v>F</v>
      </c>
      <c r="E183" s="2" t="str">
        <f>"19800617"</f>
        <v>19800617</v>
      </c>
      <c r="F183" s="2" t="str">
        <f>"44"</f>
        <v>44</v>
      </c>
      <c r="G183" s="2" t="str">
        <f t="shared" si="24"/>
        <v>E78660</v>
      </c>
      <c r="H183" s="2" t="str">
        <f t="shared" si="25"/>
        <v>가톨릭대학교 서울성모병원</v>
      </c>
      <c r="I183" s="2" t="str">
        <f>"특수"</f>
        <v>특수</v>
      </c>
    </row>
    <row r="184" spans="1:9" x14ac:dyDescent="0.3">
      <c r="A184" s="2" t="str">
        <f>"20240618"</f>
        <v>20240618</v>
      </c>
      <c r="B184" s="2" t="str">
        <f>"16634183"</f>
        <v>16634183</v>
      </c>
      <c r="C184" s="2" t="str">
        <f>"김혜림"</f>
        <v>김혜림</v>
      </c>
      <c r="D184" s="2" t="str">
        <f t="shared" si="35"/>
        <v>F</v>
      </c>
      <c r="E184" s="2" t="str">
        <f>"19850702"</f>
        <v>19850702</v>
      </c>
      <c r="F184" s="2" t="str">
        <f>"38"</f>
        <v>38</v>
      </c>
      <c r="G184" s="2" t="str">
        <f t="shared" si="24"/>
        <v>E78660</v>
      </c>
      <c r="H184" s="2" t="str">
        <f t="shared" si="25"/>
        <v>가톨릭대학교 서울성모병원</v>
      </c>
      <c r="I184" s="2" t="str">
        <f>"배치전"</f>
        <v>배치전</v>
      </c>
    </row>
    <row r="185" spans="1:9" x14ac:dyDescent="0.3">
      <c r="A185" s="2" t="str">
        <f>"20240618"</f>
        <v>20240618</v>
      </c>
      <c r="B185" s="2" t="str">
        <f>"16742458"</f>
        <v>16742458</v>
      </c>
      <c r="C185" s="2" t="str">
        <f>"유현정"</f>
        <v>유현정</v>
      </c>
      <c r="D185" s="2" t="str">
        <f t="shared" si="35"/>
        <v>F</v>
      </c>
      <c r="E185" s="2" t="str">
        <f>"19850914"</f>
        <v>19850914</v>
      </c>
      <c r="F185" s="2" t="str">
        <f>"38"</f>
        <v>38</v>
      </c>
      <c r="G185" s="2" t="str">
        <f t="shared" si="24"/>
        <v>E78660</v>
      </c>
      <c r="H185" s="2" t="str">
        <f t="shared" si="25"/>
        <v>가톨릭대학교 서울성모병원</v>
      </c>
      <c r="I185" s="2" t="str">
        <f>"특수"</f>
        <v>특수</v>
      </c>
    </row>
    <row r="186" spans="1:9" x14ac:dyDescent="0.3">
      <c r="A186" s="2" t="str">
        <f>"20240618"</f>
        <v>20240618</v>
      </c>
      <c r="B186" s="2" t="str">
        <f>"29643072"</f>
        <v>29643072</v>
      </c>
      <c r="C186" s="2" t="str">
        <f>"박계림"</f>
        <v>박계림</v>
      </c>
      <c r="D186" s="2" t="str">
        <f t="shared" si="35"/>
        <v>F</v>
      </c>
      <c r="E186" s="2" t="str">
        <f>"19970914"</f>
        <v>19970914</v>
      </c>
      <c r="F186" s="2" t="str">
        <f>"26"</f>
        <v>26</v>
      </c>
      <c r="G186" s="2" t="str">
        <f t="shared" si="24"/>
        <v>E78660</v>
      </c>
      <c r="H186" s="2" t="str">
        <f t="shared" si="25"/>
        <v>가톨릭대학교 서울성모병원</v>
      </c>
      <c r="I186" s="2" t="str">
        <f>"특수"</f>
        <v>특수</v>
      </c>
    </row>
    <row r="187" spans="1:9" x14ac:dyDescent="0.3">
      <c r="A187" s="2" t="str">
        <f>"20240618"</f>
        <v>20240618</v>
      </c>
      <c r="B187" s="2" t="str">
        <f>"37056352"</f>
        <v>37056352</v>
      </c>
      <c r="C187" s="2" t="str">
        <f>"김수화"</f>
        <v>김수화</v>
      </c>
      <c r="D187" s="2" t="str">
        <f t="shared" si="35"/>
        <v>F</v>
      </c>
      <c r="E187" s="2" t="str">
        <f>"19860116"</f>
        <v>19860116</v>
      </c>
      <c r="F187" s="2" t="str">
        <f>"38"</f>
        <v>38</v>
      </c>
      <c r="G187" s="2" t="str">
        <f t="shared" si="24"/>
        <v>E78660</v>
      </c>
      <c r="H187" s="2" t="str">
        <f t="shared" si="25"/>
        <v>가톨릭대학교 서울성모병원</v>
      </c>
      <c r="I187" s="2" t="str">
        <f>"특수"</f>
        <v>특수</v>
      </c>
    </row>
    <row r="188" spans="1:9" x14ac:dyDescent="0.3">
      <c r="A188" s="2" t="str">
        <f t="shared" ref="A188:A199" si="36">"20240619"</f>
        <v>20240619</v>
      </c>
      <c r="B188" s="2" t="str">
        <f>"11009505"</f>
        <v>11009505</v>
      </c>
      <c r="C188" s="2" t="str">
        <f>"박세희"</f>
        <v>박세희</v>
      </c>
      <c r="D188" s="2" t="str">
        <f t="shared" si="35"/>
        <v>F</v>
      </c>
      <c r="E188" s="2" t="str">
        <f>"19930410"</f>
        <v>19930410</v>
      </c>
      <c r="F188" s="2" t="str">
        <f>"31"</f>
        <v>31</v>
      </c>
      <c r="G188" s="2" t="str">
        <f t="shared" si="24"/>
        <v>E78660</v>
      </c>
      <c r="H188" s="2" t="str">
        <f t="shared" si="25"/>
        <v>가톨릭대학교 서울성모병원</v>
      </c>
      <c r="I188" s="2" t="str">
        <f>"배치전"</f>
        <v>배치전</v>
      </c>
    </row>
    <row r="189" spans="1:9" x14ac:dyDescent="0.3">
      <c r="A189" s="2" t="str">
        <f t="shared" si="36"/>
        <v>20240619</v>
      </c>
      <c r="B189" s="2" t="str">
        <f>"19187853"</f>
        <v>19187853</v>
      </c>
      <c r="C189" s="2" t="str">
        <f>"임승진"</f>
        <v>임승진</v>
      </c>
      <c r="D189" s="2" t="str">
        <f>"M"</f>
        <v>M</v>
      </c>
      <c r="E189" s="2" t="str">
        <f>"19811211"</f>
        <v>19811211</v>
      </c>
      <c r="F189" s="2" t="str">
        <f>"42"</f>
        <v>42</v>
      </c>
      <c r="G189" s="2" t="str">
        <f t="shared" si="24"/>
        <v>E78660</v>
      </c>
      <c r="H189" s="2" t="str">
        <f t="shared" si="25"/>
        <v>가톨릭대학교 서울성모병원</v>
      </c>
      <c r="I189" s="2" t="str">
        <f>"배치후"</f>
        <v>배치후</v>
      </c>
    </row>
    <row r="190" spans="1:9" x14ac:dyDescent="0.3">
      <c r="A190" s="2" t="str">
        <f t="shared" si="36"/>
        <v>20240619</v>
      </c>
      <c r="B190" s="2" t="str">
        <f>"19200150"</f>
        <v>19200150</v>
      </c>
      <c r="C190" s="2" t="str">
        <f>"백선영"</f>
        <v>백선영</v>
      </c>
      <c r="D190" s="2" t="str">
        <f>"F"</f>
        <v>F</v>
      </c>
      <c r="E190" s="2" t="str">
        <f>"19861003"</f>
        <v>19861003</v>
      </c>
      <c r="F190" s="2" t="str">
        <f>"37"</f>
        <v>37</v>
      </c>
      <c r="G190" s="2" t="str">
        <f t="shared" si="24"/>
        <v>E78660</v>
      </c>
      <c r="H190" s="2" t="str">
        <f t="shared" si="25"/>
        <v>가톨릭대학교 서울성모병원</v>
      </c>
      <c r="I190" s="2" t="str">
        <f>"특수"</f>
        <v>특수</v>
      </c>
    </row>
    <row r="191" spans="1:9" x14ac:dyDescent="0.3">
      <c r="A191" s="2" t="str">
        <f t="shared" si="36"/>
        <v>20240619</v>
      </c>
      <c r="B191" s="2" t="str">
        <f>"29315681"</f>
        <v>29315681</v>
      </c>
      <c r="C191" s="2" t="str">
        <f>"주지아"</f>
        <v>주지아</v>
      </c>
      <c r="D191" s="2" t="str">
        <f>"F"</f>
        <v>F</v>
      </c>
      <c r="E191" s="2" t="str">
        <f>"19920802"</f>
        <v>19920802</v>
      </c>
      <c r="F191" s="2" t="str">
        <f>"31"</f>
        <v>31</v>
      </c>
      <c r="G191" s="2" t="str">
        <f t="shared" si="24"/>
        <v>E78660</v>
      </c>
      <c r="H191" s="2" t="str">
        <f t="shared" si="25"/>
        <v>가톨릭대학교 서울성모병원</v>
      </c>
      <c r="I191" s="2" t="str">
        <f>"배치전"</f>
        <v>배치전</v>
      </c>
    </row>
    <row r="192" spans="1:9" x14ac:dyDescent="0.3">
      <c r="A192" s="2" t="str">
        <f t="shared" si="36"/>
        <v>20240619</v>
      </c>
      <c r="B192" s="2" t="str">
        <f>"30011604"</f>
        <v>30011604</v>
      </c>
      <c r="C192" s="2" t="str">
        <f>"김민지"</f>
        <v>김민지</v>
      </c>
      <c r="D192" s="2" t="str">
        <f>"F"</f>
        <v>F</v>
      </c>
      <c r="E192" s="2" t="str">
        <f>"19910606"</f>
        <v>19910606</v>
      </c>
      <c r="F192" s="2" t="str">
        <f>"33"</f>
        <v>33</v>
      </c>
      <c r="G192" s="2" t="str">
        <f t="shared" si="24"/>
        <v>E78660</v>
      </c>
      <c r="H192" s="2" t="str">
        <f t="shared" si="25"/>
        <v>가톨릭대학교 서울성모병원</v>
      </c>
      <c r="I192" s="2" t="str">
        <f>"특수"</f>
        <v>특수</v>
      </c>
    </row>
    <row r="193" spans="1:9" x14ac:dyDescent="0.3">
      <c r="A193" s="2" t="str">
        <f t="shared" si="36"/>
        <v>20240619</v>
      </c>
      <c r="B193" s="2" t="str">
        <f>"30748881"</f>
        <v>30748881</v>
      </c>
      <c r="C193" s="2" t="str">
        <f>"조재현"</f>
        <v>조재현</v>
      </c>
      <c r="D193" s="2" t="str">
        <f>"F"</f>
        <v>F</v>
      </c>
      <c r="E193" s="2" t="str">
        <f>"19870912"</f>
        <v>19870912</v>
      </c>
      <c r="F193" s="2" t="str">
        <f>"36"</f>
        <v>36</v>
      </c>
      <c r="G193" s="2" t="str">
        <f t="shared" si="24"/>
        <v>E78660</v>
      </c>
      <c r="H193" s="2" t="str">
        <f t="shared" si="25"/>
        <v>가톨릭대학교 서울성모병원</v>
      </c>
      <c r="I193" s="2" t="str">
        <f>"특수"</f>
        <v>특수</v>
      </c>
    </row>
    <row r="194" spans="1:9" x14ac:dyDescent="0.3">
      <c r="A194" s="2" t="str">
        <f t="shared" si="36"/>
        <v>20240619</v>
      </c>
      <c r="B194" s="2" t="str">
        <f>"35054582"</f>
        <v>35054582</v>
      </c>
      <c r="C194" s="2" t="str">
        <f>"최재현"</f>
        <v>최재현</v>
      </c>
      <c r="D194" s="2" t="str">
        <f>"M"</f>
        <v>M</v>
      </c>
      <c r="E194" s="2" t="str">
        <f>"19950726"</f>
        <v>19950726</v>
      </c>
      <c r="F194" s="2" t="str">
        <f>"28"</f>
        <v>28</v>
      </c>
      <c r="G194" s="2" t="str">
        <f t="shared" ref="G194:G257" si="37">"E78660"</f>
        <v>E78660</v>
      </c>
      <c r="H194" s="2" t="str">
        <f t="shared" ref="H194:H257" si="38">"가톨릭대학교 서울성모병원"</f>
        <v>가톨릭대학교 서울성모병원</v>
      </c>
      <c r="I194" s="2" t="str">
        <f>"특수"</f>
        <v>특수</v>
      </c>
    </row>
    <row r="195" spans="1:9" x14ac:dyDescent="0.3">
      <c r="A195" s="2" t="str">
        <f t="shared" si="36"/>
        <v>20240619</v>
      </c>
      <c r="B195" s="2" t="str">
        <f>"38352000"</f>
        <v>38352000</v>
      </c>
      <c r="C195" s="2" t="str">
        <f>"양은혜"</f>
        <v>양은혜</v>
      </c>
      <c r="D195" s="2" t="str">
        <f t="shared" ref="D195:D201" si="39">"F"</f>
        <v>F</v>
      </c>
      <c r="E195" s="2" t="str">
        <f>"19960305"</f>
        <v>19960305</v>
      </c>
      <c r="F195" s="2" t="str">
        <f>"28"</f>
        <v>28</v>
      </c>
      <c r="G195" s="2" t="str">
        <f t="shared" si="37"/>
        <v>E78660</v>
      </c>
      <c r="H195" s="2" t="str">
        <f t="shared" si="38"/>
        <v>가톨릭대학교 서울성모병원</v>
      </c>
      <c r="I195" s="2" t="str">
        <f>"배치전"</f>
        <v>배치전</v>
      </c>
    </row>
    <row r="196" spans="1:9" x14ac:dyDescent="0.3">
      <c r="A196" s="2" t="str">
        <f t="shared" si="36"/>
        <v>20240619</v>
      </c>
      <c r="B196" s="2" t="str">
        <f>"39231494"</f>
        <v>39231494</v>
      </c>
      <c r="C196" s="2" t="str">
        <f>"임진"</f>
        <v>임진</v>
      </c>
      <c r="D196" s="2" t="str">
        <f t="shared" si="39"/>
        <v>F</v>
      </c>
      <c r="E196" s="2" t="str">
        <f>"19990708"</f>
        <v>19990708</v>
      </c>
      <c r="F196" s="2" t="str">
        <f>"24"</f>
        <v>24</v>
      </c>
      <c r="G196" s="2" t="str">
        <f t="shared" si="37"/>
        <v>E78660</v>
      </c>
      <c r="H196" s="2" t="str">
        <f t="shared" si="38"/>
        <v>가톨릭대학교 서울성모병원</v>
      </c>
      <c r="I196" s="2" t="str">
        <f>"배치후"</f>
        <v>배치후</v>
      </c>
    </row>
    <row r="197" spans="1:9" x14ac:dyDescent="0.3">
      <c r="A197" s="2" t="str">
        <f t="shared" si="36"/>
        <v>20240619</v>
      </c>
      <c r="B197" s="2" t="str">
        <f>"39648733"</f>
        <v>39648733</v>
      </c>
      <c r="C197" s="2" t="str">
        <f>"이채은"</f>
        <v>이채은</v>
      </c>
      <c r="D197" s="2" t="str">
        <f t="shared" si="39"/>
        <v>F</v>
      </c>
      <c r="E197" s="2" t="str">
        <f>"19970902"</f>
        <v>19970902</v>
      </c>
      <c r="F197" s="2" t="str">
        <f>"26"</f>
        <v>26</v>
      </c>
      <c r="G197" s="2" t="str">
        <f t="shared" si="37"/>
        <v>E78660</v>
      </c>
      <c r="H197" s="2" t="str">
        <f t="shared" si="38"/>
        <v>가톨릭대학교 서울성모병원</v>
      </c>
      <c r="I197" s="2" t="str">
        <f>"배치전"</f>
        <v>배치전</v>
      </c>
    </row>
    <row r="198" spans="1:9" x14ac:dyDescent="0.3">
      <c r="A198" s="2" t="str">
        <f t="shared" si="36"/>
        <v>20240619</v>
      </c>
      <c r="B198" s="2" t="str">
        <f>"39857386"</f>
        <v>39857386</v>
      </c>
      <c r="C198" s="2" t="str">
        <f>"송시영"</f>
        <v>송시영</v>
      </c>
      <c r="D198" s="2" t="str">
        <f t="shared" si="39"/>
        <v>F</v>
      </c>
      <c r="E198" s="2" t="str">
        <f>"19850808"</f>
        <v>19850808</v>
      </c>
      <c r="F198" s="2" t="str">
        <f>"38"</f>
        <v>38</v>
      </c>
      <c r="G198" s="2" t="str">
        <f t="shared" si="37"/>
        <v>E78660</v>
      </c>
      <c r="H198" s="2" t="str">
        <f t="shared" si="38"/>
        <v>가톨릭대학교 서울성모병원</v>
      </c>
      <c r="I198" s="2" t="str">
        <f>"배치전"</f>
        <v>배치전</v>
      </c>
    </row>
    <row r="199" spans="1:9" x14ac:dyDescent="0.3">
      <c r="A199" s="2" t="str">
        <f t="shared" si="36"/>
        <v>20240619</v>
      </c>
      <c r="B199" s="2" t="str">
        <f>"39857454"</f>
        <v>39857454</v>
      </c>
      <c r="C199" s="2" t="str">
        <f>"황성희"</f>
        <v>황성희</v>
      </c>
      <c r="D199" s="2" t="str">
        <f t="shared" si="39"/>
        <v>F</v>
      </c>
      <c r="E199" s="2" t="str">
        <f>"20000322"</f>
        <v>20000322</v>
      </c>
      <c r="F199" s="2" t="str">
        <f>"24"</f>
        <v>24</v>
      </c>
      <c r="G199" s="2" t="str">
        <f t="shared" si="37"/>
        <v>E78660</v>
      </c>
      <c r="H199" s="2" t="str">
        <f t="shared" si="38"/>
        <v>가톨릭대학교 서울성모병원</v>
      </c>
      <c r="I199" s="2" t="str">
        <f>"배치전"</f>
        <v>배치전</v>
      </c>
    </row>
    <row r="200" spans="1:9" x14ac:dyDescent="0.3">
      <c r="A200" s="2" t="str">
        <f t="shared" ref="A200:A205" si="40">"20240620"</f>
        <v>20240620</v>
      </c>
      <c r="B200" s="2" t="str">
        <f>"11746490"</f>
        <v>11746490</v>
      </c>
      <c r="C200" s="2" t="str">
        <f>"권성민"</f>
        <v>권성민</v>
      </c>
      <c r="D200" s="2" t="str">
        <f t="shared" si="39"/>
        <v>F</v>
      </c>
      <c r="E200" s="2" t="str">
        <f>"19760309"</f>
        <v>19760309</v>
      </c>
      <c r="F200" s="2" t="str">
        <f>"48"</f>
        <v>48</v>
      </c>
      <c r="G200" s="2" t="str">
        <f t="shared" si="37"/>
        <v>E78660</v>
      </c>
      <c r="H200" s="2" t="str">
        <f t="shared" si="38"/>
        <v>가톨릭대학교 서울성모병원</v>
      </c>
      <c r="I200" s="2" t="str">
        <f t="shared" ref="I200:I209" si="41">"특수"</f>
        <v>특수</v>
      </c>
    </row>
    <row r="201" spans="1:9" x14ac:dyDescent="0.3">
      <c r="A201" s="2" t="str">
        <f t="shared" si="40"/>
        <v>20240620</v>
      </c>
      <c r="B201" s="2" t="str">
        <f>"12815331"</f>
        <v>12815331</v>
      </c>
      <c r="C201" s="2" t="str">
        <f>"채계영"</f>
        <v>채계영</v>
      </c>
      <c r="D201" s="2" t="str">
        <f t="shared" si="39"/>
        <v>F</v>
      </c>
      <c r="E201" s="2" t="str">
        <f>"19790124"</f>
        <v>19790124</v>
      </c>
      <c r="F201" s="2" t="str">
        <f>"45"</f>
        <v>45</v>
      </c>
      <c r="G201" s="2" t="str">
        <f t="shared" si="37"/>
        <v>E78660</v>
      </c>
      <c r="H201" s="2" t="str">
        <f t="shared" si="38"/>
        <v>가톨릭대학교 서울성모병원</v>
      </c>
      <c r="I201" s="2" t="str">
        <f t="shared" si="41"/>
        <v>특수</v>
      </c>
    </row>
    <row r="202" spans="1:9" x14ac:dyDescent="0.3">
      <c r="A202" s="2" t="str">
        <f t="shared" si="40"/>
        <v>20240620</v>
      </c>
      <c r="B202" s="2" t="str">
        <f>"24361474"</f>
        <v>24361474</v>
      </c>
      <c r="C202" s="2" t="str">
        <f>"박성진"</f>
        <v>박성진</v>
      </c>
      <c r="D202" s="2" t="str">
        <f>"M"</f>
        <v>M</v>
      </c>
      <c r="E202" s="2" t="str">
        <f>"19821019"</f>
        <v>19821019</v>
      </c>
      <c r="F202" s="2" t="str">
        <f>"41"</f>
        <v>41</v>
      </c>
      <c r="G202" s="2" t="str">
        <f t="shared" si="37"/>
        <v>E78660</v>
      </c>
      <c r="H202" s="2" t="str">
        <f t="shared" si="38"/>
        <v>가톨릭대학교 서울성모병원</v>
      </c>
      <c r="I202" s="2" t="str">
        <f t="shared" si="41"/>
        <v>특수</v>
      </c>
    </row>
    <row r="203" spans="1:9" x14ac:dyDescent="0.3">
      <c r="A203" s="2" t="str">
        <f t="shared" si="40"/>
        <v>20240620</v>
      </c>
      <c r="B203" s="2" t="str">
        <f>"37542996"</f>
        <v>37542996</v>
      </c>
      <c r="C203" s="2" t="str">
        <f>"최재화"</f>
        <v>최재화</v>
      </c>
      <c r="D203" s="2" t="str">
        <f>"F"</f>
        <v>F</v>
      </c>
      <c r="E203" s="2" t="str">
        <f>"19970625"</f>
        <v>19970625</v>
      </c>
      <c r="F203" s="2" t="str">
        <f>"27"</f>
        <v>27</v>
      </c>
      <c r="G203" s="2" t="str">
        <f t="shared" si="37"/>
        <v>E78660</v>
      </c>
      <c r="H203" s="2" t="str">
        <f t="shared" si="38"/>
        <v>가톨릭대학교 서울성모병원</v>
      </c>
      <c r="I203" s="2" t="str">
        <f t="shared" si="41"/>
        <v>특수</v>
      </c>
    </row>
    <row r="204" spans="1:9" x14ac:dyDescent="0.3">
      <c r="A204" s="2" t="str">
        <f t="shared" si="40"/>
        <v>20240620</v>
      </c>
      <c r="B204" s="2" t="str">
        <f>"38695073"</f>
        <v>38695073</v>
      </c>
      <c r="C204" s="2" t="str">
        <f>"김한별"</f>
        <v>김한별</v>
      </c>
      <c r="D204" s="2" t="str">
        <f>"F"</f>
        <v>F</v>
      </c>
      <c r="E204" s="2" t="str">
        <f>"19961206"</f>
        <v>19961206</v>
      </c>
      <c r="F204" s="2" t="str">
        <f>"27"</f>
        <v>27</v>
      </c>
      <c r="G204" s="2" t="str">
        <f t="shared" si="37"/>
        <v>E78660</v>
      </c>
      <c r="H204" s="2" t="str">
        <f t="shared" si="38"/>
        <v>가톨릭대학교 서울성모병원</v>
      </c>
      <c r="I204" s="2" t="str">
        <f t="shared" si="41"/>
        <v>특수</v>
      </c>
    </row>
    <row r="205" spans="1:9" x14ac:dyDescent="0.3">
      <c r="A205" s="2" t="str">
        <f t="shared" si="40"/>
        <v>20240620</v>
      </c>
      <c r="B205" s="2" t="str">
        <f>"38695096"</f>
        <v>38695096</v>
      </c>
      <c r="C205" s="2" t="str">
        <f>"정희주"</f>
        <v>정희주</v>
      </c>
      <c r="D205" s="2" t="str">
        <f>"F"</f>
        <v>F</v>
      </c>
      <c r="E205" s="2" t="str">
        <f>"20000611"</f>
        <v>20000611</v>
      </c>
      <c r="F205" s="2" t="str">
        <f>"24"</f>
        <v>24</v>
      </c>
      <c r="G205" s="2" t="str">
        <f t="shared" si="37"/>
        <v>E78660</v>
      </c>
      <c r="H205" s="2" t="str">
        <f t="shared" si="38"/>
        <v>가톨릭대학교 서울성모병원</v>
      </c>
      <c r="I205" s="2" t="str">
        <f t="shared" si="41"/>
        <v>특수</v>
      </c>
    </row>
    <row r="206" spans="1:9" x14ac:dyDescent="0.3">
      <c r="A206" s="2" t="str">
        <f t="shared" ref="A206:A216" si="42">"20240624"</f>
        <v>20240624</v>
      </c>
      <c r="B206" s="2" t="str">
        <f>"10406270"</f>
        <v>10406270</v>
      </c>
      <c r="C206" s="2" t="str">
        <f>"최상준"</f>
        <v>최상준</v>
      </c>
      <c r="D206" s="2" t="str">
        <f>"M"</f>
        <v>M</v>
      </c>
      <c r="E206" s="2" t="str">
        <f>"19911112"</f>
        <v>19911112</v>
      </c>
      <c r="F206" s="2" t="str">
        <f>"32"</f>
        <v>32</v>
      </c>
      <c r="G206" s="2" t="str">
        <f t="shared" si="37"/>
        <v>E78660</v>
      </c>
      <c r="H206" s="2" t="str">
        <f t="shared" si="38"/>
        <v>가톨릭대학교 서울성모병원</v>
      </c>
      <c r="I206" s="2" t="str">
        <f t="shared" si="41"/>
        <v>특수</v>
      </c>
    </row>
    <row r="207" spans="1:9" x14ac:dyDescent="0.3">
      <c r="A207" s="2" t="str">
        <f t="shared" si="42"/>
        <v>20240624</v>
      </c>
      <c r="B207" s="2" t="str">
        <f>"14544004"</f>
        <v>14544004</v>
      </c>
      <c r="C207" s="2" t="str">
        <f>"정윤주"</f>
        <v>정윤주</v>
      </c>
      <c r="D207" s="2" t="str">
        <f>"F"</f>
        <v>F</v>
      </c>
      <c r="E207" s="2" t="str">
        <f>"19840223"</f>
        <v>19840223</v>
      </c>
      <c r="F207" s="2" t="str">
        <f>"40"</f>
        <v>40</v>
      </c>
      <c r="G207" s="2" t="str">
        <f t="shared" si="37"/>
        <v>E78660</v>
      </c>
      <c r="H207" s="2" t="str">
        <f t="shared" si="38"/>
        <v>가톨릭대학교 서울성모병원</v>
      </c>
      <c r="I207" s="2" t="str">
        <f t="shared" si="41"/>
        <v>특수</v>
      </c>
    </row>
    <row r="208" spans="1:9" x14ac:dyDescent="0.3">
      <c r="A208" s="2" t="str">
        <f t="shared" si="42"/>
        <v>20240624</v>
      </c>
      <c r="B208" s="2" t="str">
        <f>"18819848"</f>
        <v>18819848</v>
      </c>
      <c r="C208" s="2" t="str">
        <f>"한영선"</f>
        <v>한영선</v>
      </c>
      <c r="D208" s="2" t="str">
        <f>"F"</f>
        <v>F</v>
      </c>
      <c r="E208" s="2" t="str">
        <f>"19780228"</f>
        <v>19780228</v>
      </c>
      <c r="F208" s="2" t="str">
        <f>"46"</f>
        <v>46</v>
      </c>
      <c r="G208" s="2" t="str">
        <f t="shared" si="37"/>
        <v>E78660</v>
      </c>
      <c r="H208" s="2" t="str">
        <f t="shared" si="38"/>
        <v>가톨릭대학교 서울성모병원</v>
      </c>
      <c r="I208" s="2" t="str">
        <f t="shared" si="41"/>
        <v>특수</v>
      </c>
    </row>
    <row r="209" spans="1:9" x14ac:dyDescent="0.3">
      <c r="A209" s="2" t="str">
        <f t="shared" si="42"/>
        <v>20240624</v>
      </c>
      <c r="B209" s="2" t="str">
        <f>"19795455"</f>
        <v>19795455</v>
      </c>
      <c r="C209" s="2" t="str">
        <f>"송중석"</f>
        <v>송중석</v>
      </c>
      <c r="D209" s="2" t="str">
        <f>"M"</f>
        <v>M</v>
      </c>
      <c r="E209" s="2" t="str">
        <f>"19780102"</f>
        <v>19780102</v>
      </c>
      <c r="F209" s="2" t="str">
        <f>"46"</f>
        <v>46</v>
      </c>
      <c r="G209" s="2" t="str">
        <f t="shared" si="37"/>
        <v>E78660</v>
      </c>
      <c r="H209" s="2" t="str">
        <f t="shared" si="38"/>
        <v>가톨릭대학교 서울성모병원</v>
      </c>
      <c r="I209" s="2" t="str">
        <f t="shared" si="41"/>
        <v>특수</v>
      </c>
    </row>
    <row r="210" spans="1:9" x14ac:dyDescent="0.3">
      <c r="A210" s="2" t="str">
        <f t="shared" si="42"/>
        <v>20240624</v>
      </c>
      <c r="B210" s="2" t="str">
        <f>"19795796"</f>
        <v>19795796</v>
      </c>
      <c r="C210" s="2" t="str">
        <f>"이승은"</f>
        <v>이승은</v>
      </c>
      <c r="D210" s="2" t="str">
        <f t="shared" ref="D210:D227" si="43">"F"</f>
        <v>F</v>
      </c>
      <c r="E210" s="2" t="str">
        <f>"19870227"</f>
        <v>19870227</v>
      </c>
      <c r="F210" s="2" t="str">
        <f>"37"</f>
        <v>37</v>
      </c>
      <c r="G210" s="2" t="str">
        <f t="shared" si="37"/>
        <v>E78660</v>
      </c>
      <c r="H210" s="2" t="str">
        <f t="shared" si="38"/>
        <v>가톨릭대학교 서울성모병원</v>
      </c>
      <c r="I210" s="2" t="str">
        <f>"배치후"</f>
        <v>배치후</v>
      </c>
    </row>
    <row r="211" spans="1:9" x14ac:dyDescent="0.3">
      <c r="A211" s="2" t="str">
        <f t="shared" si="42"/>
        <v>20240624</v>
      </c>
      <c r="B211" s="2" t="str">
        <f>"22851135"</f>
        <v>22851135</v>
      </c>
      <c r="C211" s="2" t="str">
        <f>"김성혜"</f>
        <v>김성혜</v>
      </c>
      <c r="D211" s="2" t="str">
        <f t="shared" si="43"/>
        <v>F</v>
      </c>
      <c r="E211" s="2" t="str">
        <f>"19880722"</f>
        <v>19880722</v>
      </c>
      <c r="F211" s="2" t="str">
        <f>"35"</f>
        <v>35</v>
      </c>
      <c r="G211" s="2" t="str">
        <f t="shared" si="37"/>
        <v>E78660</v>
      </c>
      <c r="H211" s="2" t="str">
        <f t="shared" si="38"/>
        <v>가톨릭대학교 서울성모병원</v>
      </c>
      <c r="I211" s="2" t="str">
        <f>"특수"</f>
        <v>특수</v>
      </c>
    </row>
    <row r="212" spans="1:9" x14ac:dyDescent="0.3">
      <c r="A212" s="2" t="str">
        <f t="shared" si="42"/>
        <v>20240624</v>
      </c>
      <c r="B212" s="2" t="str">
        <f>"31945671"</f>
        <v>31945671</v>
      </c>
      <c r="C212" s="2" t="str">
        <f>"조예진"</f>
        <v>조예진</v>
      </c>
      <c r="D212" s="2" t="str">
        <f t="shared" si="43"/>
        <v>F</v>
      </c>
      <c r="E212" s="2" t="str">
        <f>"19920819"</f>
        <v>19920819</v>
      </c>
      <c r="F212" s="2" t="str">
        <f>"31"</f>
        <v>31</v>
      </c>
      <c r="G212" s="2" t="str">
        <f t="shared" si="37"/>
        <v>E78660</v>
      </c>
      <c r="H212" s="2" t="str">
        <f t="shared" si="38"/>
        <v>가톨릭대학교 서울성모병원</v>
      </c>
      <c r="I212" s="2" t="str">
        <f>"특수"</f>
        <v>특수</v>
      </c>
    </row>
    <row r="213" spans="1:9" x14ac:dyDescent="0.3">
      <c r="A213" s="2" t="str">
        <f t="shared" si="42"/>
        <v>20240624</v>
      </c>
      <c r="B213" s="2" t="str">
        <f>"35758011"</f>
        <v>35758011</v>
      </c>
      <c r="C213" s="2" t="str">
        <f>"조지수"</f>
        <v>조지수</v>
      </c>
      <c r="D213" s="2" t="str">
        <f t="shared" si="43"/>
        <v>F</v>
      </c>
      <c r="E213" s="2" t="str">
        <f>"19951209"</f>
        <v>19951209</v>
      </c>
      <c r="F213" s="2" t="str">
        <f>"28"</f>
        <v>28</v>
      </c>
      <c r="G213" s="2" t="str">
        <f t="shared" si="37"/>
        <v>E78660</v>
      </c>
      <c r="H213" s="2" t="str">
        <f t="shared" si="38"/>
        <v>가톨릭대학교 서울성모병원</v>
      </c>
      <c r="I213" s="2" t="str">
        <f>"특수"</f>
        <v>특수</v>
      </c>
    </row>
    <row r="214" spans="1:9" x14ac:dyDescent="0.3">
      <c r="A214" s="2" t="str">
        <f t="shared" si="42"/>
        <v>20240624</v>
      </c>
      <c r="B214" s="2" t="str">
        <f>"37094814"</f>
        <v>37094814</v>
      </c>
      <c r="C214" s="2" t="str">
        <f>"고한슬"</f>
        <v>고한슬</v>
      </c>
      <c r="D214" s="2" t="str">
        <f t="shared" si="43"/>
        <v>F</v>
      </c>
      <c r="E214" s="2" t="str">
        <f>"19980706"</f>
        <v>19980706</v>
      </c>
      <c r="F214" s="2" t="str">
        <f>"25"</f>
        <v>25</v>
      </c>
      <c r="G214" s="2" t="str">
        <f t="shared" si="37"/>
        <v>E78660</v>
      </c>
      <c r="H214" s="2" t="str">
        <f t="shared" si="38"/>
        <v>가톨릭대학교 서울성모병원</v>
      </c>
      <c r="I214" s="2" t="str">
        <f>"특수"</f>
        <v>특수</v>
      </c>
    </row>
    <row r="215" spans="1:9" x14ac:dyDescent="0.3">
      <c r="A215" s="2" t="str">
        <f t="shared" si="42"/>
        <v>20240624</v>
      </c>
      <c r="B215" s="2" t="str">
        <f>"38589360"</f>
        <v>38589360</v>
      </c>
      <c r="C215" s="2" t="str">
        <f>"박민경"</f>
        <v>박민경</v>
      </c>
      <c r="D215" s="2" t="str">
        <f t="shared" si="43"/>
        <v>F</v>
      </c>
      <c r="E215" s="2" t="str">
        <f>"19921020"</f>
        <v>19921020</v>
      </c>
      <c r="F215" s="2" t="str">
        <f>"31"</f>
        <v>31</v>
      </c>
      <c r="G215" s="2" t="str">
        <f t="shared" si="37"/>
        <v>E78660</v>
      </c>
      <c r="H215" s="2" t="str">
        <f t="shared" si="38"/>
        <v>가톨릭대학교 서울성모병원</v>
      </c>
      <c r="I215" s="2" t="str">
        <f>"특수"</f>
        <v>특수</v>
      </c>
    </row>
    <row r="216" spans="1:9" x14ac:dyDescent="0.3">
      <c r="A216" s="2" t="str">
        <f t="shared" si="42"/>
        <v>20240624</v>
      </c>
      <c r="B216" s="2" t="str">
        <f>"38871881"</f>
        <v>38871881</v>
      </c>
      <c r="C216" s="2" t="str">
        <f>"이슬기"</f>
        <v>이슬기</v>
      </c>
      <c r="D216" s="2" t="str">
        <f t="shared" si="43"/>
        <v>F</v>
      </c>
      <c r="E216" s="2" t="str">
        <f>"20001127"</f>
        <v>20001127</v>
      </c>
      <c r="F216" s="2" t="str">
        <f>"23"</f>
        <v>23</v>
      </c>
      <c r="G216" s="2" t="str">
        <f t="shared" si="37"/>
        <v>E78660</v>
      </c>
      <c r="H216" s="2" t="str">
        <f t="shared" si="38"/>
        <v>가톨릭대학교 서울성모병원</v>
      </c>
      <c r="I216" s="2" t="str">
        <f>"배치후"</f>
        <v>배치후</v>
      </c>
    </row>
    <row r="217" spans="1:9" x14ac:dyDescent="0.3">
      <c r="A217" s="2" t="str">
        <f t="shared" ref="A217:A225" si="44">"20240625"</f>
        <v>20240625</v>
      </c>
      <c r="B217" s="2" t="str">
        <f>"11176316"</f>
        <v>11176316</v>
      </c>
      <c r="C217" s="2" t="str">
        <f>"최이정"</f>
        <v>최이정</v>
      </c>
      <c r="D217" s="2" t="str">
        <f t="shared" si="43"/>
        <v>F</v>
      </c>
      <c r="E217" s="2" t="str">
        <f>"19751112"</f>
        <v>19751112</v>
      </c>
      <c r="F217" s="2" t="str">
        <f>"48"</f>
        <v>48</v>
      </c>
      <c r="G217" s="2" t="str">
        <f t="shared" si="37"/>
        <v>E78660</v>
      </c>
      <c r="H217" s="2" t="str">
        <f t="shared" si="38"/>
        <v>가톨릭대학교 서울성모병원</v>
      </c>
      <c r="I217" s="2" t="str">
        <f>"특수"</f>
        <v>특수</v>
      </c>
    </row>
    <row r="218" spans="1:9" x14ac:dyDescent="0.3">
      <c r="A218" s="2" t="str">
        <f t="shared" si="44"/>
        <v>20240625</v>
      </c>
      <c r="B218" s="2" t="str">
        <f>"13637851"</f>
        <v>13637851</v>
      </c>
      <c r="C218" s="2" t="str">
        <f>"박지숙"</f>
        <v>박지숙</v>
      </c>
      <c r="D218" s="2" t="str">
        <f t="shared" si="43"/>
        <v>F</v>
      </c>
      <c r="E218" s="2" t="str">
        <f>"19790809"</f>
        <v>19790809</v>
      </c>
      <c r="F218" s="2" t="str">
        <f>"44"</f>
        <v>44</v>
      </c>
      <c r="G218" s="2" t="str">
        <f t="shared" si="37"/>
        <v>E78660</v>
      </c>
      <c r="H218" s="2" t="str">
        <f t="shared" si="38"/>
        <v>가톨릭대학교 서울성모병원</v>
      </c>
      <c r="I218" s="2" t="str">
        <f>"배치전"</f>
        <v>배치전</v>
      </c>
    </row>
    <row r="219" spans="1:9" x14ac:dyDescent="0.3">
      <c r="A219" s="2" t="str">
        <f t="shared" si="44"/>
        <v>20240625</v>
      </c>
      <c r="B219" s="2" t="str">
        <f>"21072644"</f>
        <v>21072644</v>
      </c>
      <c r="C219" s="2" t="str">
        <f>"박승미"</f>
        <v>박승미</v>
      </c>
      <c r="D219" s="2" t="str">
        <f t="shared" si="43"/>
        <v>F</v>
      </c>
      <c r="E219" s="2" t="str">
        <f>"19850810"</f>
        <v>19850810</v>
      </c>
      <c r="F219" s="2" t="str">
        <f>"38"</f>
        <v>38</v>
      </c>
      <c r="G219" s="2" t="str">
        <f t="shared" si="37"/>
        <v>E78660</v>
      </c>
      <c r="H219" s="2" t="str">
        <f t="shared" si="38"/>
        <v>가톨릭대학교 서울성모병원</v>
      </c>
      <c r="I219" s="2" t="str">
        <f>"특수"</f>
        <v>특수</v>
      </c>
    </row>
    <row r="220" spans="1:9" x14ac:dyDescent="0.3">
      <c r="A220" s="2" t="str">
        <f t="shared" si="44"/>
        <v>20240625</v>
      </c>
      <c r="B220" s="2" t="str">
        <f>"21548362"</f>
        <v>21548362</v>
      </c>
      <c r="C220" s="2" t="str">
        <f>"최근애"</f>
        <v>최근애</v>
      </c>
      <c r="D220" s="2" t="str">
        <f t="shared" si="43"/>
        <v>F</v>
      </c>
      <c r="E220" s="2" t="str">
        <f>"19830526"</f>
        <v>19830526</v>
      </c>
      <c r="F220" s="2" t="str">
        <f>"41"</f>
        <v>41</v>
      </c>
      <c r="G220" s="2" t="str">
        <f t="shared" si="37"/>
        <v>E78660</v>
      </c>
      <c r="H220" s="2" t="str">
        <f t="shared" si="38"/>
        <v>가톨릭대학교 서울성모병원</v>
      </c>
      <c r="I220" s="2" t="str">
        <f>"배치전"</f>
        <v>배치전</v>
      </c>
    </row>
    <row r="221" spans="1:9" x14ac:dyDescent="0.3">
      <c r="A221" s="2" t="str">
        <f t="shared" si="44"/>
        <v>20240625</v>
      </c>
      <c r="B221" s="2" t="str">
        <f>"23066121"</f>
        <v>23066121</v>
      </c>
      <c r="C221" s="2" t="str">
        <f>"이하늬"</f>
        <v>이하늬</v>
      </c>
      <c r="D221" s="2" t="str">
        <f t="shared" si="43"/>
        <v>F</v>
      </c>
      <c r="E221" s="2" t="str">
        <f>"19880801"</f>
        <v>19880801</v>
      </c>
      <c r="F221" s="2" t="str">
        <f>"35"</f>
        <v>35</v>
      </c>
      <c r="G221" s="2" t="str">
        <f t="shared" si="37"/>
        <v>E78660</v>
      </c>
      <c r="H221" s="2" t="str">
        <f t="shared" si="38"/>
        <v>가톨릭대학교 서울성모병원</v>
      </c>
      <c r="I221" s="2" t="str">
        <f>"배치후"</f>
        <v>배치후</v>
      </c>
    </row>
    <row r="222" spans="1:9" x14ac:dyDescent="0.3">
      <c r="A222" s="2" t="str">
        <f t="shared" si="44"/>
        <v>20240625</v>
      </c>
      <c r="B222" s="2" t="str">
        <f>"33361740"</f>
        <v>33361740</v>
      </c>
      <c r="C222" s="2" t="str">
        <f>"박혜미"</f>
        <v>박혜미</v>
      </c>
      <c r="D222" s="2" t="str">
        <f t="shared" si="43"/>
        <v>F</v>
      </c>
      <c r="E222" s="2" t="str">
        <f>"19900315"</f>
        <v>19900315</v>
      </c>
      <c r="F222" s="2" t="str">
        <f>"34"</f>
        <v>34</v>
      </c>
      <c r="G222" s="2" t="str">
        <f t="shared" si="37"/>
        <v>E78660</v>
      </c>
      <c r="H222" s="2" t="str">
        <f t="shared" si="38"/>
        <v>가톨릭대학교 서울성모병원</v>
      </c>
      <c r="I222" s="2" t="str">
        <f>"특수"</f>
        <v>특수</v>
      </c>
    </row>
    <row r="223" spans="1:9" x14ac:dyDescent="0.3">
      <c r="A223" s="2" t="str">
        <f t="shared" si="44"/>
        <v>20240625</v>
      </c>
      <c r="B223" s="2" t="str">
        <f>"35480150"</f>
        <v>35480150</v>
      </c>
      <c r="C223" s="2" t="str">
        <f>"엄윤주"</f>
        <v>엄윤주</v>
      </c>
      <c r="D223" s="2" t="str">
        <f t="shared" si="43"/>
        <v>F</v>
      </c>
      <c r="E223" s="2" t="str">
        <f>"19980118"</f>
        <v>19980118</v>
      </c>
      <c r="F223" s="2" t="str">
        <f>"26"</f>
        <v>26</v>
      </c>
      <c r="G223" s="2" t="str">
        <f t="shared" si="37"/>
        <v>E78660</v>
      </c>
      <c r="H223" s="2" t="str">
        <f t="shared" si="38"/>
        <v>가톨릭대학교 서울성모병원</v>
      </c>
      <c r="I223" s="2" t="str">
        <f>"특수"</f>
        <v>특수</v>
      </c>
    </row>
    <row r="224" spans="1:9" x14ac:dyDescent="0.3">
      <c r="A224" s="2" t="str">
        <f t="shared" si="44"/>
        <v>20240625</v>
      </c>
      <c r="B224" s="2" t="str">
        <f>"35715014"</f>
        <v>35715014</v>
      </c>
      <c r="C224" s="2" t="str">
        <f>"박희주"</f>
        <v>박희주</v>
      </c>
      <c r="D224" s="2" t="str">
        <f t="shared" si="43"/>
        <v>F</v>
      </c>
      <c r="E224" s="2" t="str">
        <f>"19980105"</f>
        <v>19980105</v>
      </c>
      <c r="F224" s="2" t="str">
        <f>"26"</f>
        <v>26</v>
      </c>
      <c r="G224" s="2" t="str">
        <f t="shared" si="37"/>
        <v>E78660</v>
      </c>
      <c r="H224" s="2" t="str">
        <f t="shared" si="38"/>
        <v>가톨릭대학교 서울성모병원</v>
      </c>
      <c r="I224" s="2" t="str">
        <f>"배치후"</f>
        <v>배치후</v>
      </c>
    </row>
    <row r="225" spans="1:9" x14ac:dyDescent="0.3">
      <c r="A225" s="2" t="str">
        <f t="shared" si="44"/>
        <v>20240625</v>
      </c>
      <c r="B225" s="2" t="str">
        <f>"38036441"</f>
        <v>38036441</v>
      </c>
      <c r="C225" s="2" t="str">
        <f>"남은지"</f>
        <v>남은지</v>
      </c>
      <c r="D225" s="2" t="str">
        <f t="shared" si="43"/>
        <v>F</v>
      </c>
      <c r="E225" s="2" t="str">
        <f>"19981221"</f>
        <v>19981221</v>
      </c>
      <c r="F225" s="2" t="str">
        <f>"25"</f>
        <v>25</v>
      </c>
      <c r="G225" s="2" t="str">
        <f t="shared" si="37"/>
        <v>E78660</v>
      </c>
      <c r="H225" s="2" t="str">
        <f t="shared" si="38"/>
        <v>가톨릭대학교 서울성모병원</v>
      </c>
      <c r="I225" s="2" t="str">
        <f t="shared" ref="I225:I233" si="45">"특수"</f>
        <v>특수</v>
      </c>
    </row>
    <row r="226" spans="1:9" x14ac:dyDescent="0.3">
      <c r="A226" s="2" t="str">
        <f t="shared" ref="A226:A238" si="46">"20240626"</f>
        <v>20240626</v>
      </c>
      <c r="B226" s="2" t="str">
        <f>"14484686"</f>
        <v>14484686</v>
      </c>
      <c r="C226" s="2" t="str">
        <f>"최선영"</f>
        <v>최선영</v>
      </c>
      <c r="D226" s="2" t="str">
        <f t="shared" si="43"/>
        <v>F</v>
      </c>
      <c r="E226" s="2" t="str">
        <f>"19720628"</f>
        <v>19720628</v>
      </c>
      <c r="F226" s="2" t="str">
        <f>"52"</f>
        <v>52</v>
      </c>
      <c r="G226" s="2" t="str">
        <f t="shared" si="37"/>
        <v>E78660</v>
      </c>
      <c r="H226" s="2" t="str">
        <f t="shared" si="38"/>
        <v>가톨릭대학교 서울성모병원</v>
      </c>
      <c r="I226" s="2" t="str">
        <f t="shared" si="45"/>
        <v>특수</v>
      </c>
    </row>
    <row r="227" spans="1:9" x14ac:dyDescent="0.3">
      <c r="A227" s="2" t="str">
        <f t="shared" si="46"/>
        <v>20240626</v>
      </c>
      <c r="B227" s="2" t="str">
        <f>"18308088"</f>
        <v>18308088</v>
      </c>
      <c r="C227" s="2" t="str">
        <f>"김지언"</f>
        <v>김지언</v>
      </c>
      <c r="D227" s="2" t="str">
        <f t="shared" si="43"/>
        <v>F</v>
      </c>
      <c r="E227" s="2" t="str">
        <f>"19870223"</f>
        <v>19870223</v>
      </c>
      <c r="F227" s="2" t="str">
        <f>"37"</f>
        <v>37</v>
      </c>
      <c r="G227" s="2" t="str">
        <f t="shared" si="37"/>
        <v>E78660</v>
      </c>
      <c r="H227" s="2" t="str">
        <f t="shared" si="38"/>
        <v>가톨릭대학교 서울성모병원</v>
      </c>
      <c r="I227" s="2" t="str">
        <f t="shared" si="45"/>
        <v>특수</v>
      </c>
    </row>
    <row r="228" spans="1:9" x14ac:dyDescent="0.3">
      <c r="A228" s="2" t="str">
        <f t="shared" si="46"/>
        <v>20240626</v>
      </c>
      <c r="B228" s="2" t="str">
        <f>"26865264"</f>
        <v>26865264</v>
      </c>
      <c r="C228" s="2" t="str">
        <f>"오세준"</f>
        <v>오세준</v>
      </c>
      <c r="D228" s="2" t="str">
        <f>"M"</f>
        <v>M</v>
      </c>
      <c r="E228" s="2" t="str">
        <f>"19840625"</f>
        <v>19840625</v>
      </c>
      <c r="F228" s="2" t="str">
        <f>"40"</f>
        <v>40</v>
      </c>
      <c r="G228" s="2" t="str">
        <f t="shared" si="37"/>
        <v>E78660</v>
      </c>
      <c r="H228" s="2" t="str">
        <f t="shared" si="38"/>
        <v>가톨릭대학교 서울성모병원</v>
      </c>
      <c r="I228" s="2" t="str">
        <f t="shared" si="45"/>
        <v>특수</v>
      </c>
    </row>
    <row r="229" spans="1:9" x14ac:dyDescent="0.3">
      <c r="A229" s="2" t="str">
        <f t="shared" si="46"/>
        <v>20240626</v>
      </c>
      <c r="B229" s="2" t="str">
        <f>"27738662"</f>
        <v>27738662</v>
      </c>
      <c r="C229" s="2" t="str">
        <f>"정경희"</f>
        <v>정경희</v>
      </c>
      <c r="D229" s="2" t="str">
        <f>"F"</f>
        <v>F</v>
      </c>
      <c r="E229" s="2" t="str">
        <f>"19910610"</f>
        <v>19910610</v>
      </c>
      <c r="F229" s="2" t="str">
        <f>"33"</f>
        <v>33</v>
      </c>
      <c r="G229" s="2" t="str">
        <f t="shared" si="37"/>
        <v>E78660</v>
      </c>
      <c r="H229" s="2" t="str">
        <f t="shared" si="38"/>
        <v>가톨릭대학교 서울성모병원</v>
      </c>
      <c r="I229" s="2" t="str">
        <f t="shared" si="45"/>
        <v>특수</v>
      </c>
    </row>
    <row r="230" spans="1:9" x14ac:dyDescent="0.3">
      <c r="A230" s="2" t="str">
        <f t="shared" si="46"/>
        <v>20240626</v>
      </c>
      <c r="B230" s="2" t="str">
        <f>"28520233"</f>
        <v>28520233</v>
      </c>
      <c r="C230" s="2" t="str">
        <f>"김우빈"</f>
        <v>김우빈</v>
      </c>
      <c r="D230" s="2" t="str">
        <f>"M"</f>
        <v>M</v>
      </c>
      <c r="E230" s="2" t="str">
        <f>"19871224"</f>
        <v>19871224</v>
      </c>
      <c r="F230" s="2" t="str">
        <f>"36"</f>
        <v>36</v>
      </c>
      <c r="G230" s="2" t="str">
        <f t="shared" si="37"/>
        <v>E78660</v>
      </c>
      <c r="H230" s="2" t="str">
        <f t="shared" si="38"/>
        <v>가톨릭대학교 서울성모병원</v>
      </c>
      <c r="I230" s="2" t="str">
        <f t="shared" si="45"/>
        <v>특수</v>
      </c>
    </row>
    <row r="231" spans="1:9" x14ac:dyDescent="0.3">
      <c r="A231" s="2" t="str">
        <f t="shared" si="46"/>
        <v>20240626</v>
      </c>
      <c r="B231" s="2" t="str">
        <f>"30795934"</f>
        <v>30795934</v>
      </c>
      <c r="C231" s="2" t="str">
        <f>"정연진"</f>
        <v>정연진</v>
      </c>
      <c r="D231" s="2" t="str">
        <f>"F"</f>
        <v>F</v>
      </c>
      <c r="E231" s="2" t="str">
        <f>"19960615"</f>
        <v>19960615</v>
      </c>
      <c r="F231" s="2" t="str">
        <f>"28"</f>
        <v>28</v>
      </c>
      <c r="G231" s="2" t="str">
        <f t="shared" si="37"/>
        <v>E78660</v>
      </c>
      <c r="H231" s="2" t="str">
        <f t="shared" si="38"/>
        <v>가톨릭대학교 서울성모병원</v>
      </c>
      <c r="I231" s="2" t="str">
        <f t="shared" si="45"/>
        <v>특수</v>
      </c>
    </row>
    <row r="232" spans="1:9" x14ac:dyDescent="0.3">
      <c r="A232" s="2" t="str">
        <f t="shared" si="46"/>
        <v>20240626</v>
      </c>
      <c r="B232" s="2" t="str">
        <f>"35672991"</f>
        <v>35672991</v>
      </c>
      <c r="C232" s="2" t="str">
        <f>"박선영"</f>
        <v>박선영</v>
      </c>
      <c r="D232" s="2" t="str">
        <f>"F"</f>
        <v>F</v>
      </c>
      <c r="E232" s="2" t="str">
        <f>"19960214"</f>
        <v>19960214</v>
      </c>
      <c r="F232" s="2" t="str">
        <f>"28"</f>
        <v>28</v>
      </c>
      <c r="G232" s="2" t="str">
        <f t="shared" si="37"/>
        <v>E78660</v>
      </c>
      <c r="H232" s="2" t="str">
        <f t="shared" si="38"/>
        <v>가톨릭대학교 서울성모병원</v>
      </c>
      <c r="I232" s="2" t="str">
        <f t="shared" si="45"/>
        <v>특수</v>
      </c>
    </row>
    <row r="233" spans="1:9" x14ac:dyDescent="0.3">
      <c r="A233" s="2" t="str">
        <f t="shared" si="46"/>
        <v>20240626</v>
      </c>
      <c r="B233" s="2" t="str">
        <f>"37056341"</f>
        <v>37056341</v>
      </c>
      <c r="C233" s="2" t="str">
        <f>"화소명"</f>
        <v>화소명</v>
      </c>
      <c r="D233" s="2" t="str">
        <f>"F"</f>
        <v>F</v>
      </c>
      <c r="E233" s="2" t="str">
        <f>"19931030"</f>
        <v>19931030</v>
      </c>
      <c r="F233" s="2" t="str">
        <f>"30"</f>
        <v>30</v>
      </c>
      <c r="G233" s="2" t="str">
        <f t="shared" si="37"/>
        <v>E78660</v>
      </c>
      <c r="H233" s="2" t="str">
        <f t="shared" si="38"/>
        <v>가톨릭대학교 서울성모병원</v>
      </c>
      <c r="I233" s="2" t="str">
        <f t="shared" si="45"/>
        <v>특수</v>
      </c>
    </row>
    <row r="234" spans="1:9" x14ac:dyDescent="0.3">
      <c r="A234" s="2" t="str">
        <f t="shared" si="46"/>
        <v>20240626</v>
      </c>
      <c r="B234" s="2" t="str">
        <f>"39347382"</f>
        <v>39347382</v>
      </c>
      <c r="C234" s="2" t="str">
        <f>"이재웅"</f>
        <v>이재웅</v>
      </c>
      <c r="D234" s="2" t="str">
        <f>"M"</f>
        <v>M</v>
      </c>
      <c r="E234" s="2" t="str">
        <f>"19960712"</f>
        <v>19960712</v>
      </c>
      <c r="F234" s="2" t="str">
        <f>"27"</f>
        <v>27</v>
      </c>
      <c r="G234" s="2" t="str">
        <f t="shared" si="37"/>
        <v>E78660</v>
      </c>
      <c r="H234" s="2" t="str">
        <f t="shared" si="38"/>
        <v>가톨릭대학교 서울성모병원</v>
      </c>
      <c r="I234" s="2" t="str">
        <f>"배치후"</f>
        <v>배치후</v>
      </c>
    </row>
    <row r="235" spans="1:9" x14ac:dyDescent="0.3">
      <c r="A235" s="2" t="str">
        <f t="shared" si="46"/>
        <v>20240626</v>
      </c>
      <c r="B235" s="2" t="str">
        <f>"39360332"</f>
        <v>39360332</v>
      </c>
      <c r="C235" s="2" t="str">
        <f>"박주은"</f>
        <v>박주은</v>
      </c>
      <c r="D235" s="2" t="str">
        <f>"F"</f>
        <v>F</v>
      </c>
      <c r="E235" s="2" t="str">
        <f>"19980830"</f>
        <v>19980830</v>
      </c>
      <c r="F235" s="2" t="str">
        <f>"25"</f>
        <v>25</v>
      </c>
      <c r="G235" s="2" t="str">
        <f t="shared" si="37"/>
        <v>E78660</v>
      </c>
      <c r="H235" s="2" t="str">
        <f t="shared" si="38"/>
        <v>가톨릭대학교 서울성모병원</v>
      </c>
      <c r="I235" s="2" t="str">
        <f>"배치후"</f>
        <v>배치후</v>
      </c>
    </row>
    <row r="236" spans="1:9" x14ac:dyDescent="0.3">
      <c r="A236" s="2" t="str">
        <f t="shared" si="46"/>
        <v>20240626</v>
      </c>
      <c r="B236" s="2" t="str">
        <f>"39648715"</f>
        <v>39648715</v>
      </c>
      <c r="C236" s="2" t="str">
        <f>"고채린"</f>
        <v>고채린</v>
      </c>
      <c r="D236" s="2" t="str">
        <f>"F"</f>
        <v>F</v>
      </c>
      <c r="E236" s="2" t="str">
        <f>"19970718"</f>
        <v>19970718</v>
      </c>
      <c r="F236" s="2" t="str">
        <f>"26"</f>
        <v>26</v>
      </c>
      <c r="G236" s="2" t="str">
        <f t="shared" si="37"/>
        <v>E78660</v>
      </c>
      <c r="H236" s="2" t="str">
        <f t="shared" si="38"/>
        <v>가톨릭대학교 서울성모병원</v>
      </c>
      <c r="I236" s="2" t="str">
        <f>"배치전"</f>
        <v>배치전</v>
      </c>
    </row>
    <row r="237" spans="1:9" x14ac:dyDescent="0.3">
      <c r="A237" s="2" t="str">
        <f t="shared" si="46"/>
        <v>20240626</v>
      </c>
      <c r="B237" s="2" t="str">
        <f>"39669614"</f>
        <v>39669614</v>
      </c>
      <c r="C237" s="2" t="str">
        <f>"양준영"</f>
        <v>양준영</v>
      </c>
      <c r="D237" s="2" t="str">
        <f>"M"</f>
        <v>M</v>
      </c>
      <c r="E237" s="2" t="str">
        <f>"19910430"</f>
        <v>19910430</v>
      </c>
      <c r="F237" s="2" t="str">
        <f>"33"</f>
        <v>33</v>
      </c>
      <c r="G237" s="2" t="str">
        <f t="shared" si="37"/>
        <v>E78660</v>
      </c>
      <c r="H237" s="2" t="str">
        <f t="shared" si="38"/>
        <v>가톨릭대학교 서울성모병원</v>
      </c>
      <c r="I237" s="2" t="str">
        <f>"배치전"</f>
        <v>배치전</v>
      </c>
    </row>
    <row r="238" spans="1:9" x14ac:dyDescent="0.3">
      <c r="A238" s="2" t="str">
        <f t="shared" si="46"/>
        <v>20240626</v>
      </c>
      <c r="B238" s="2" t="str">
        <f>"39677056"</f>
        <v>39677056</v>
      </c>
      <c r="C238" s="2" t="str">
        <f>"이주현"</f>
        <v>이주현</v>
      </c>
      <c r="D238" s="2" t="str">
        <f>"F"</f>
        <v>F</v>
      </c>
      <c r="E238" s="2" t="str">
        <f>"19970920"</f>
        <v>19970920</v>
      </c>
      <c r="F238" s="2" t="str">
        <f>"26"</f>
        <v>26</v>
      </c>
      <c r="G238" s="2" t="str">
        <f t="shared" si="37"/>
        <v>E78660</v>
      </c>
      <c r="H238" s="2" t="str">
        <f t="shared" si="38"/>
        <v>가톨릭대학교 서울성모병원</v>
      </c>
      <c r="I238" s="2" t="str">
        <f>"배치전"</f>
        <v>배치전</v>
      </c>
    </row>
    <row r="239" spans="1:9" x14ac:dyDescent="0.3">
      <c r="A239" s="2" t="str">
        <f t="shared" ref="A239:A244" si="47">"20240627"</f>
        <v>20240627</v>
      </c>
      <c r="B239" s="2" t="str">
        <f>"10324540"</f>
        <v>10324540</v>
      </c>
      <c r="C239" s="2" t="str">
        <f>"유가영"</f>
        <v>유가영</v>
      </c>
      <c r="D239" s="2" t="str">
        <f>"F"</f>
        <v>F</v>
      </c>
      <c r="E239" s="2" t="str">
        <f>"19830722"</f>
        <v>19830722</v>
      </c>
      <c r="F239" s="2" t="str">
        <f>"40"</f>
        <v>40</v>
      </c>
      <c r="G239" s="2" t="str">
        <f t="shared" si="37"/>
        <v>E78660</v>
      </c>
      <c r="H239" s="2" t="str">
        <f t="shared" si="38"/>
        <v>가톨릭대학교 서울성모병원</v>
      </c>
      <c r="I239" s="2" t="str">
        <f>"특수"</f>
        <v>특수</v>
      </c>
    </row>
    <row r="240" spans="1:9" x14ac:dyDescent="0.3">
      <c r="A240" s="2" t="str">
        <f t="shared" si="47"/>
        <v>20240627</v>
      </c>
      <c r="B240" s="2" t="str">
        <f>"19585331"</f>
        <v>19585331</v>
      </c>
      <c r="C240" s="2" t="str">
        <f>"신진영"</f>
        <v>신진영</v>
      </c>
      <c r="D240" s="2" t="str">
        <f>"F"</f>
        <v>F</v>
      </c>
      <c r="E240" s="2" t="str">
        <f>"19800811"</f>
        <v>19800811</v>
      </c>
      <c r="F240" s="2" t="str">
        <f>"43"</f>
        <v>43</v>
      </c>
      <c r="G240" s="2" t="str">
        <f t="shared" si="37"/>
        <v>E78660</v>
      </c>
      <c r="H240" s="2" t="str">
        <f t="shared" si="38"/>
        <v>가톨릭대학교 서울성모병원</v>
      </c>
      <c r="I240" s="2" t="str">
        <f>"특수"</f>
        <v>특수</v>
      </c>
    </row>
    <row r="241" spans="1:9" x14ac:dyDescent="0.3">
      <c r="A241" s="2" t="str">
        <f t="shared" si="47"/>
        <v>20240627</v>
      </c>
      <c r="B241" s="2" t="str">
        <f>"23676094"</f>
        <v>23676094</v>
      </c>
      <c r="C241" s="2" t="str">
        <f>"김수영"</f>
        <v>김수영</v>
      </c>
      <c r="D241" s="2" t="str">
        <f>"F"</f>
        <v>F</v>
      </c>
      <c r="E241" s="2" t="str">
        <f>"19921210"</f>
        <v>19921210</v>
      </c>
      <c r="F241" s="2" t="str">
        <f>"31"</f>
        <v>31</v>
      </c>
      <c r="G241" s="2" t="str">
        <f t="shared" si="37"/>
        <v>E78660</v>
      </c>
      <c r="H241" s="2" t="str">
        <f t="shared" si="38"/>
        <v>가톨릭대학교 서울성모병원</v>
      </c>
      <c r="I241" s="2" t="str">
        <f>"배치후"</f>
        <v>배치후</v>
      </c>
    </row>
    <row r="242" spans="1:9" x14ac:dyDescent="0.3">
      <c r="A242" s="2" t="str">
        <f t="shared" si="47"/>
        <v>20240627</v>
      </c>
      <c r="B242" s="2" t="str">
        <f>"29927553"</f>
        <v>29927553</v>
      </c>
      <c r="C242" s="2" t="str">
        <f>"이태한"</f>
        <v>이태한</v>
      </c>
      <c r="D242" s="2" t="str">
        <f>"M"</f>
        <v>M</v>
      </c>
      <c r="E242" s="2" t="str">
        <f>"19871016"</f>
        <v>19871016</v>
      </c>
      <c r="F242" s="2" t="str">
        <f>"36"</f>
        <v>36</v>
      </c>
      <c r="G242" s="2" t="str">
        <f t="shared" si="37"/>
        <v>E78660</v>
      </c>
      <c r="H242" s="2" t="str">
        <f t="shared" si="38"/>
        <v>가톨릭대학교 서울성모병원</v>
      </c>
      <c r="I242" s="2" t="str">
        <f t="shared" ref="I242:I280" si="48">"특수"</f>
        <v>특수</v>
      </c>
    </row>
    <row r="243" spans="1:9" x14ac:dyDescent="0.3">
      <c r="A243" s="2" t="str">
        <f t="shared" si="47"/>
        <v>20240627</v>
      </c>
      <c r="B243" s="2" t="str">
        <f>"33448922"</f>
        <v>33448922</v>
      </c>
      <c r="C243" s="2" t="str">
        <f>"최보윤"</f>
        <v>최보윤</v>
      </c>
      <c r="D243" s="2" t="str">
        <f>"F"</f>
        <v>F</v>
      </c>
      <c r="E243" s="2" t="str">
        <f>"19940116"</f>
        <v>19940116</v>
      </c>
      <c r="F243" s="2" t="str">
        <f>"30"</f>
        <v>30</v>
      </c>
      <c r="G243" s="2" t="str">
        <f t="shared" si="37"/>
        <v>E78660</v>
      </c>
      <c r="H243" s="2" t="str">
        <f t="shared" si="38"/>
        <v>가톨릭대학교 서울성모병원</v>
      </c>
      <c r="I243" s="2" t="str">
        <f t="shared" si="48"/>
        <v>특수</v>
      </c>
    </row>
    <row r="244" spans="1:9" x14ac:dyDescent="0.3">
      <c r="A244" s="2" t="str">
        <f t="shared" si="47"/>
        <v>20240627</v>
      </c>
      <c r="B244" s="2" t="str">
        <f>"37047592"</f>
        <v>37047592</v>
      </c>
      <c r="C244" s="2" t="str">
        <f>"조영진"</f>
        <v>조영진</v>
      </c>
      <c r="D244" s="2" t="str">
        <f>"M"</f>
        <v>M</v>
      </c>
      <c r="E244" s="2" t="str">
        <f>"19960506"</f>
        <v>19960506</v>
      </c>
      <c r="F244" s="2" t="str">
        <f>"28"</f>
        <v>28</v>
      </c>
      <c r="G244" s="2" t="str">
        <f t="shared" si="37"/>
        <v>E78660</v>
      </c>
      <c r="H244" s="2" t="str">
        <f t="shared" si="38"/>
        <v>가톨릭대학교 서울성모병원</v>
      </c>
      <c r="I244" s="2" t="str">
        <f t="shared" si="48"/>
        <v>특수</v>
      </c>
    </row>
    <row r="245" spans="1:9" x14ac:dyDescent="0.3">
      <c r="A245" s="2" t="str">
        <f t="shared" ref="A245:A256" si="49">"20240701"</f>
        <v>20240701</v>
      </c>
      <c r="B245" s="2" t="str">
        <f>"13885804"</f>
        <v>13885804</v>
      </c>
      <c r="C245" s="2" t="str">
        <f>"장정은"</f>
        <v>장정은</v>
      </c>
      <c r="D245" s="2" t="str">
        <f>"F"</f>
        <v>F</v>
      </c>
      <c r="E245" s="2" t="str">
        <f>"19800218"</f>
        <v>19800218</v>
      </c>
      <c r="F245" s="2" t="str">
        <f>"44"</f>
        <v>44</v>
      </c>
      <c r="G245" s="2" t="str">
        <f t="shared" si="37"/>
        <v>E78660</v>
      </c>
      <c r="H245" s="2" t="str">
        <f t="shared" si="38"/>
        <v>가톨릭대학교 서울성모병원</v>
      </c>
      <c r="I245" s="2" t="str">
        <f t="shared" si="48"/>
        <v>특수</v>
      </c>
    </row>
    <row r="246" spans="1:9" x14ac:dyDescent="0.3">
      <c r="A246" s="2" t="str">
        <f t="shared" si="49"/>
        <v>20240701</v>
      </c>
      <c r="B246" s="2" t="str">
        <f>"14189256"</f>
        <v>14189256</v>
      </c>
      <c r="C246" s="2" t="str">
        <f>"탁예원"</f>
        <v>탁예원</v>
      </c>
      <c r="D246" s="2" t="str">
        <f>"F"</f>
        <v>F</v>
      </c>
      <c r="E246" s="2" t="str">
        <f>"19790120"</f>
        <v>19790120</v>
      </c>
      <c r="F246" s="2" t="str">
        <f>"45"</f>
        <v>45</v>
      </c>
      <c r="G246" s="2" t="str">
        <f t="shared" si="37"/>
        <v>E78660</v>
      </c>
      <c r="H246" s="2" t="str">
        <f t="shared" si="38"/>
        <v>가톨릭대학교 서울성모병원</v>
      </c>
      <c r="I246" s="2" t="str">
        <f t="shared" si="48"/>
        <v>특수</v>
      </c>
    </row>
    <row r="247" spans="1:9" x14ac:dyDescent="0.3">
      <c r="A247" s="2" t="str">
        <f t="shared" si="49"/>
        <v>20240701</v>
      </c>
      <c r="B247" s="2" t="str">
        <f>"14731259"</f>
        <v>14731259</v>
      </c>
      <c r="C247" s="2" t="str">
        <f>"정나연"</f>
        <v>정나연</v>
      </c>
      <c r="D247" s="2" t="str">
        <f>"F"</f>
        <v>F</v>
      </c>
      <c r="E247" s="2" t="str">
        <f>"19790815"</f>
        <v>19790815</v>
      </c>
      <c r="F247" s="2" t="str">
        <f>"44"</f>
        <v>44</v>
      </c>
      <c r="G247" s="2" t="str">
        <f t="shared" si="37"/>
        <v>E78660</v>
      </c>
      <c r="H247" s="2" t="str">
        <f t="shared" si="38"/>
        <v>가톨릭대학교 서울성모병원</v>
      </c>
      <c r="I247" s="2" t="str">
        <f t="shared" si="48"/>
        <v>특수</v>
      </c>
    </row>
    <row r="248" spans="1:9" x14ac:dyDescent="0.3">
      <c r="A248" s="2" t="str">
        <f t="shared" si="49"/>
        <v>20240701</v>
      </c>
      <c r="B248" s="2" t="str">
        <f>"18994768"</f>
        <v>18994768</v>
      </c>
      <c r="C248" s="2" t="str">
        <f>"김해숙"</f>
        <v>김해숙</v>
      </c>
      <c r="D248" s="2" t="str">
        <f>"F"</f>
        <v>F</v>
      </c>
      <c r="E248" s="2" t="str">
        <f>"19810213"</f>
        <v>19810213</v>
      </c>
      <c r="F248" s="2" t="str">
        <f>"43"</f>
        <v>43</v>
      </c>
      <c r="G248" s="2" t="str">
        <f t="shared" si="37"/>
        <v>E78660</v>
      </c>
      <c r="H248" s="2" t="str">
        <f t="shared" si="38"/>
        <v>가톨릭대학교 서울성모병원</v>
      </c>
      <c r="I248" s="2" t="str">
        <f t="shared" si="48"/>
        <v>특수</v>
      </c>
    </row>
    <row r="249" spans="1:9" x14ac:dyDescent="0.3">
      <c r="A249" s="2" t="str">
        <f t="shared" si="49"/>
        <v>20240701</v>
      </c>
      <c r="B249" s="2" t="str">
        <f>"19860116"</f>
        <v>19860116</v>
      </c>
      <c r="C249" s="2" t="str">
        <f>"임회찬"</f>
        <v>임회찬</v>
      </c>
      <c r="D249" s="2" t="str">
        <f>"M"</f>
        <v>M</v>
      </c>
      <c r="E249" s="2" t="str">
        <f>"19950606"</f>
        <v>19950606</v>
      </c>
      <c r="F249" s="2" t="str">
        <f>"29"</f>
        <v>29</v>
      </c>
      <c r="G249" s="2" t="str">
        <f t="shared" si="37"/>
        <v>E78660</v>
      </c>
      <c r="H249" s="2" t="str">
        <f t="shared" si="38"/>
        <v>가톨릭대학교 서울성모병원</v>
      </c>
      <c r="I249" s="2" t="str">
        <f t="shared" si="48"/>
        <v>특수</v>
      </c>
    </row>
    <row r="250" spans="1:9" x14ac:dyDescent="0.3">
      <c r="A250" s="2" t="str">
        <f t="shared" si="49"/>
        <v>20240701</v>
      </c>
      <c r="B250" s="2" t="str">
        <f>"32550494"</f>
        <v>32550494</v>
      </c>
      <c r="C250" s="2" t="str">
        <f>"탁승홍"</f>
        <v>탁승홍</v>
      </c>
      <c r="D250" s="2" t="str">
        <f>"M"</f>
        <v>M</v>
      </c>
      <c r="E250" s="2" t="str">
        <f>"19920421"</f>
        <v>19920421</v>
      </c>
      <c r="F250" s="2" t="str">
        <f>"32"</f>
        <v>32</v>
      </c>
      <c r="G250" s="2" t="str">
        <f t="shared" si="37"/>
        <v>E78660</v>
      </c>
      <c r="H250" s="2" t="str">
        <f t="shared" si="38"/>
        <v>가톨릭대학교 서울성모병원</v>
      </c>
      <c r="I250" s="2" t="str">
        <f t="shared" si="48"/>
        <v>특수</v>
      </c>
    </row>
    <row r="251" spans="1:9" x14ac:dyDescent="0.3">
      <c r="A251" s="2" t="str">
        <f t="shared" si="49"/>
        <v>20240701</v>
      </c>
      <c r="B251" s="2" t="str">
        <f>"34784302"</f>
        <v>34784302</v>
      </c>
      <c r="C251" s="2" t="str">
        <f>"허지원"</f>
        <v>허지원</v>
      </c>
      <c r="D251" s="2" t="str">
        <f>"M"</f>
        <v>M</v>
      </c>
      <c r="E251" s="2" t="str">
        <f>"19950624"</f>
        <v>19950624</v>
      </c>
      <c r="F251" s="2" t="str">
        <f>"29"</f>
        <v>29</v>
      </c>
      <c r="G251" s="2" t="str">
        <f t="shared" si="37"/>
        <v>E78660</v>
      </c>
      <c r="H251" s="2" t="str">
        <f t="shared" si="38"/>
        <v>가톨릭대학교 서울성모병원</v>
      </c>
      <c r="I251" s="2" t="str">
        <f t="shared" si="48"/>
        <v>특수</v>
      </c>
    </row>
    <row r="252" spans="1:9" x14ac:dyDescent="0.3">
      <c r="A252" s="2" t="str">
        <f t="shared" si="49"/>
        <v>20240701</v>
      </c>
      <c r="B252" s="2" t="str">
        <f>"35735692"</f>
        <v>35735692</v>
      </c>
      <c r="C252" s="2" t="str">
        <f>"권오준"</f>
        <v>권오준</v>
      </c>
      <c r="D252" s="2" t="str">
        <f>"M"</f>
        <v>M</v>
      </c>
      <c r="E252" s="2" t="str">
        <f>"19960127"</f>
        <v>19960127</v>
      </c>
      <c r="F252" s="2" t="str">
        <f>"28"</f>
        <v>28</v>
      </c>
      <c r="G252" s="2" t="str">
        <f t="shared" si="37"/>
        <v>E78660</v>
      </c>
      <c r="H252" s="2" t="str">
        <f t="shared" si="38"/>
        <v>가톨릭대학교 서울성모병원</v>
      </c>
      <c r="I252" s="2" t="str">
        <f t="shared" si="48"/>
        <v>특수</v>
      </c>
    </row>
    <row r="253" spans="1:9" x14ac:dyDescent="0.3">
      <c r="A253" s="2" t="str">
        <f t="shared" si="49"/>
        <v>20240701</v>
      </c>
      <c r="B253" s="2" t="str">
        <f>"35758085"</f>
        <v>35758085</v>
      </c>
      <c r="C253" s="2" t="str">
        <f>"함륜광"</f>
        <v>함륜광</v>
      </c>
      <c r="D253" s="2" t="str">
        <f>"M"</f>
        <v>M</v>
      </c>
      <c r="E253" s="2" t="str">
        <f>"19911208"</f>
        <v>19911208</v>
      </c>
      <c r="F253" s="2" t="str">
        <f>"32"</f>
        <v>32</v>
      </c>
      <c r="G253" s="2" t="str">
        <f t="shared" si="37"/>
        <v>E78660</v>
      </c>
      <c r="H253" s="2" t="str">
        <f t="shared" si="38"/>
        <v>가톨릭대학교 서울성모병원</v>
      </c>
      <c r="I253" s="2" t="str">
        <f t="shared" si="48"/>
        <v>특수</v>
      </c>
    </row>
    <row r="254" spans="1:9" x14ac:dyDescent="0.3">
      <c r="A254" s="2" t="str">
        <f t="shared" si="49"/>
        <v>20240701</v>
      </c>
      <c r="B254" s="2" t="str">
        <f>"37661611"</f>
        <v>37661611</v>
      </c>
      <c r="C254" s="2" t="str">
        <f>"김예랑"</f>
        <v>김예랑</v>
      </c>
      <c r="D254" s="2" t="str">
        <f t="shared" ref="D254:D259" si="50">"F"</f>
        <v>F</v>
      </c>
      <c r="E254" s="2" t="str">
        <f>"19970919"</f>
        <v>19970919</v>
      </c>
      <c r="F254" s="2" t="str">
        <f>"26"</f>
        <v>26</v>
      </c>
      <c r="G254" s="2" t="str">
        <f t="shared" si="37"/>
        <v>E78660</v>
      </c>
      <c r="H254" s="2" t="str">
        <f t="shared" si="38"/>
        <v>가톨릭대학교 서울성모병원</v>
      </c>
      <c r="I254" s="2" t="str">
        <f t="shared" si="48"/>
        <v>특수</v>
      </c>
    </row>
    <row r="255" spans="1:9" x14ac:dyDescent="0.3">
      <c r="A255" s="2" t="str">
        <f t="shared" si="49"/>
        <v>20240701</v>
      </c>
      <c r="B255" s="2" t="str">
        <f>"38357141"</f>
        <v>38357141</v>
      </c>
      <c r="C255" s="2" t="str">
        <f>"박지영"</f>
        <v>박지영</v>
      </c>
      <c r="D255" s="2" t="str">
        <f t="shared" si="50"/>
        <v>F</v>
      </c>
      <c r="E255" s="2" t="str">
        <f>"19670503"</f>
        <v>19670503</v>
      </c>
      <c r="F255" s="2" t="str">
        <f>"57"</f>
        <v>57</v>
      </c>
      <c r="G255" s="2" t="str">
        <f t="shared" si="37"/>
        <v>E78660</v>
      </c>
      <c r="H255" s="2" t="str">
        <f t="shared" si="38"/>
        <v>가톨릭대학교 서울성모병원</v>
      </c>
      <c r="I255" s="2" t="str">
        <f t="shared" si="48"/>
        <v>특수</v>
      </c>
    </row>
    <row r="256" spans="1:9" x14ac:dyDescent="0.3">
      <c r="A256" s="2" t="str">
        <f t="shared" si="49"/>
        <v>20240701</v>
      </c>
      <c r="B256" s="2" t="str">
        <f>"38361725"</f>
        <v>38361725</v>
      </c>
      <c r="C256" s="2" t="str">
        <f>"이서현"</f>
        <v>이서현</v>
      </c>
      <c r="D256" s="2" t="str">
        <f t="shared" si="50"/>
        <v>F</v>
      </c>
      <c r="E256" s="2" t="str">
        <f>"19970407"</f>
        <v>19970407</v>
      </c>
      <c r="F256" s="2" t="str">
        <f>"27"</f>
        <v>27</v>
      </c>
      <c r="G256" s="2" t="str">
        <f t="shared" si="37"/>
        <v>E78660</v>
      </c>
      <c r="H256" s="2" t="str">
        <f t="shared" si="38"/>
        <v>가톨릭대학교 서울성모병원</v>
      </c>
      <c r="I256" s="2" t="str">
        <f t="shared" si="48"/>
        <v>특수</v>
      </c>
    </row>
    <row r="257" spans="1:9" x14ac:dyDescent="0.3">
      <c r="A257" s="2" t="str">
        <f t="shared" ref="A257:A262" si="51">"20240702"</f>
        <v>20240702</v>
      </c>
      <c r="B257" s="2" t="str">
        <f>"14586505"</f>
        <v>14586505</v>
      </c>
      <c r="C257" s="2" t="str">
        <f>"송여진"</f>
        <v>송여진</v>
      </c>
      <c r="D257" s="2" t="str">
        <f t="shared" si="50"/>
        <v>F</v>
      </c>
      <c r="E257" s="2" t="str">
        <f>"19790415"</f>
        <v>19790415</v>
      </c>
      <c r="F257" s="2" t="str">
        <f>"45"</f>
        <v>45</v>
      </c>
      <c r="G257" s="2" t="str">
        <f t="shared" si="37"/>
        <v>E78660</v>
      </c>
      <c r="H257" s="2" t="str">
        <f t="shared" si="38"/>
        <v>가톨릭대학교 서울성모병원</v>
      </c>
      <c r="I257" s="2" t="str">
        <f t="shared" si="48"/>
        <v>특수</v>
      </c>
    </row>
    <row r="258" spans="1:9" x14ac:dyDescent="0.3">
      <c r="A258" s="2" t="str">
        <f t="shared" si="51"/>
        <v>20240702</v>
      </c>
      <c r="B258" s="2" t="str">
        <f>"20186256"</f>
        <v>20186256</v>
      </c>
      <c r="C258" s="2" t="str">
        <f>"황정실"</f>
        <v>황정실</v>
      </c>
      <c r="D258" s="2" t="str">
        <f t="shared" si="50"/>
        <v>F</v>
      </c>
      <c r="E258" s="2" t="str">
        <f>"19740324"</f>
        <v>19740324</v>
      </c>
      <c r="F258" s="2" t="str">
        <f>"50"</f>
        <v>50</v>
      </c>
      <c r="G258" s="2" t="str">
        <f t="shared" ref="G258:G321" si="52">"E78660"</f>
        <v>E78660</v>
      </c>
      <c r="H258" s="2" t="str">
        <f t="shared" ref="H258:H321" si="53">"가톨릭대학교 서울성모병원"</f>
        <v>가톨릭대학교 서울성모병원</v>
      </c>
      <c r="I258" s="2" t="str">
        <f t="shared" si="48"/>
        <v>특수</v>
      </c>
    </row>
    <row r="259" spans="1:9" x14ac:dyDescent="0.3">
      <c r="A259" s="2" t="str">
        <f t="shared" si="51"/>
        <v>20240702</v>
      </c>
      <c r="B259" s="2" t="str">
        <f>"21049246"</f>
        <v>21049246</v>
      </c>
      <c r="C259" s="2" t="str">
        <f>"김호희"</f>
        <v>김호희</v>
      </c>
      <c r="D259" s="2" t="str">
        <f t="shared" si="50"/>
        <v>F</v>
      </c>
      <c r="E259" s="2" t="str">
        <f>"19880824"</f>
        <v>19880824</v>
      </c>
      <c r="F259" s="2" t="str">
        <f>"35"</f>
        <v>35</v>
      </c>
      <c r="G259" s="2" t="str">
        <f t="shared" si="52"/>
        <v>E78660</v>
      </c>
      <c r="H259" s="2" t="str">
        <f t="shared" si="53"/>
        <v>가톨릭대학교 서울성모병원</v>
      </c>
      <c r="I259" s="2" t="str">
        <f t="shared" si="48"/>
        <v>특수</v>
      </c>
    </row>
    <row r="260" spans="1:9" x14ac:dyDescent="0.3">
      <c r="A260" s="2" t="str">
        <f t="shared" si="51"/>
        <v>20240702</v>
      </c>
      <c r="B260" s="2" t="str">
        <f>"26956351"</f>
        <v>26956351</v>
      </c>
      <c r="C260" s="2" t="str">
        <f>"박은우"</f>
        <v>박은우</v>
      </c>
      <c r="D260" s="2" t="str">
        <f>"M"</f>
        <v>M</v>
      </c>
      <c r="E260" s="2" t="str">
        <f>"19930627"</f>
        <v>19930627</v>
      </c>
      <c r="F260" s="2" t="str">
        <f>"31"</f>
        <v>31</v>
      </c>
      <c r="G260" s="2" t="str">
        <f t="shared" si="52"/>
        <v>E78660</v>
      </c>
      <c r="H260" s="2" t="str">
        <f t="shared" si="53"/>
        <v>가톨릭대학교 서울성모병원</v>
      </c>
      <c r="I260" s="2" t="str">
        <f t="shared" si="48"/>
        <v>특수</v>
      </c>
    </row>
    <row r="261" spans="1:9" x14ac:dyDescent="0.3">
      <c r="A261" s="2" t="str">
        <f t="shared" si="51"/>
        <v>20240702</v>
      </c>
      <c r="B261" s="2" t="str">
        <f>"37805863"</f>
        <v>37805863</v>
      </c>
      <c r="C261" s="2" t="str">
        <f>"한미라"</f>
        <v>한미라</v>
      </c>
      <c r="D261" s="2" t="str">
        <f>"F"</f>
        <v>F</v>
      </c>
      <c r="E261" s="2" t="str">
        <f>"19830126"</f>
        <v>19830126</v>
      </c>
      <c r="F261" s="2" t="str">
        <f>"41"</f>
        <v>41</v>
      </c>
      <c r="G261" s="2" t="str">
        <f t="shared" si="52"/>
        <v>E78660</v>
      </c>
      <c r="H261" s="2" t="str">
        <f t="shared" si="53"/>
        <v>가톨릭대학교 서울성모병원</v>
      </c>
      <c r="I261" s="2" t="str">
        <f t="shared" si="48"/>
        <v>특수</v>
      </c>
    </row>
    <row r="262" spans="1:9" x14ac:dyDescent="0.3">
      <c r="A262" s="2" t="str">
        <f t="shared" si="51"/>
        <v>20240702</v>
      </c>
      <c r="B262" s="2" t="str">
        <f>"6715241"</f>
        <v>6715241</v>
      </c>
      <c r="C262" s="2" t="str">
        <f>"장현식"</f>
        <v>장현식</v>
      </c>
      <c r="D262" s="2" t="str">
        <f>"M"</f>
        <v>M</v>
      </c>
      <c r="E262" s="2" t="str">
        <f>"19670330"</f>
        <v>19670330</v>
      </c>
      <c r="F262" s="2" t="str">
        <f>"57"</f>
        <v>57</v>
      </c>
      <c r="G262" s="2" t="str">
        <f t="shared" si="52"/>
        <v>E78660</v>
      </c>
      <c r="H262" s="2" t="str">
        <f t="shared" si="53"/>
        <v>가톨릭대학교 서울성모병원</v>
      </c>
      <c r="I262" s="2" t="str">
        <f t="shared" si="48"/>
        <v>특수</v>
      </c>
    </row>
    <row r="263" spans="1:9" x14ac:dyDescent="0.3">
      <c r="A263" s="2" t="str">
        <f t="shared" ref="A263:A269" si="54">"20240703"</f>
        <v>20240703</v>
      </c>
      <c r="B263" s="2" t="str">
        <f>"21823452"</f>
        <v>21823452</v>
      </c>
      <c r="C263" s="2" t="str">
        <f>"문신혜"</f>
        <v>문신혜</v>
      </c>
      <c r="D263" s="2" t="str">
        <f>"F"</f>
        <v>F</v>
      </c>
      <c r="E263" s="2" t="str">
        <f>"19880105"</f>
        <v>19880105</v>
      </c>
      <c r="F263" s="2" t="str">
        <f>"36"</f>
        <v>36</v>
      </c>
      <c r="G263" s="2" t="str">
        <f t="shared" si="52"/>
        <v>E78660</v>
      </c>
      <c r="H263" s="2" t="str">
        <f t="shared" si="53"/>
        <v>가톨릭대학교 서울성모병원</v>
      </c>
      <c r="I263" s="2" t="str">
        <f t="shared" si="48"/>
        <v>특수</v>
      </c>
    </row>
    <row r="264" spans="1:9" x14ac:dyDescent="0.3">
      <c r="A264" s="2" t="str">
        <f t="shared" si="54"/>
        <v>20240703</v>
      </c>
      <c r="B264" s="2" t="str">
        <f>"23919116"</f>
        <v>23919116</v>
      </c>
      <c r="C264" s="2" t="str">
        <f>"김성훈"</f>
        <v>김성훈</v>
      </c>
      <c r="D264" s="2" t="str">
        <f>"M"</f>
        <v>M</v>
      </c>
      <c r="E264" s="2" t="str">
        <f>"19830720"</f>
        <v>19830720</v>
      </c>
      <c r="F264" s="2" t="str">
        <f>"40"</f>
        <v>40</v>
      </c>
      <c r="G264" s="2" t="str">
        <f t="shared" si="52"/>
        <v>E78660</v>
      </c>
      <c r="H264" s="2" t="str">
        <f t="shared" si="53"/>
        <v>가톨릭대학교 서울성모병원</v>
      </c>
      <c r="I264" s="2" t="str">
        <f t="shared" si="48"/>
        <v>특수</v>
      </c>
    </row>
    <row r="265" spans="1:9" x14ac:dyDescent="0.3">
      <c r="A265" s="2" t="str">
        <f t="shared" si="54"/>
        <v>20240703</v>
      </c>
      <c r="B265" s="2" t="str">
        <f>"28553112"</f>
        <v>28553112</v>
      </c>
      <c r="C265" s="2" t="str">
        <f>"김승화"</f>
        <v>김승화</v>
      </c>
      <c r="D265" s="2" t="str">
        <f>"M"</f>
        <v>M</v>
      </c>
      <c r="E265" s="2" t="str">
        <f>"19940723"</f>
        <v>19940723</v>
      </c>
      <c r="F265" s="2" t="str">
        <f>"29"</f>
        <v>29</v>
      </c>
      <c r="G265" s="2" t="str">
        <f t="shared" si="52"/>
        <v>E78660</v>
      </c>
      <c r="H265" s="2" t="str">
        <f t="shared" si="53"/>
        <v>가톨릭대학교 서울성모병원</v>
      </c>
      <c r="I265" s="2" t="str">
        <f t="shared" si="48"/>
        <v>특수</v>
      </c>
    </row>
    <row r="266" spans="1:9" x14ac:dyDescent="0.3">
      <c r="A266" s="2" t="str">
        <f t="shared" si="54"/>
        <v>20240703</v>
      </c>
      <c r="B266" s="2" t="str">
        <f>"29643303"</f>
        <v>29643303</v>
      </c>
      <c r="C266" s="2" t="str">
        <f>"유형섭"</f>
        <v>유형섭</v>
      </c>
      <c r="D266" s="2" t="str">
        <f>"M"</f>
        <v>M</v>
      </c>
      <c r="E266" s="2" t="str">
        <f>"19930630"</f>
        <v>19930630</v>
      </c>
      <c r="F266" s="2" t="str">
        <f>"31"</f>
        <v>31</v>
      </c>
      <c r="G266" s="2" t="str">
        <f t="shared" si="52"/>
        <v>E78660</v>
      </c>
      <c r="H266" s="2" t="str">
        <f t="shared" si="53"/>
        <v>가톨릭대학교 서울성모병원</v>
      </c>
      <c r="I266" s="2" t="str">
        <f t="shared" si="48"/>
        <v>특수</v>
      </c>
    </row>
    <row r="267" spans="1:9" x14ac:dyDescent="0.3">
      <c r="A267" s="2" t="str">
        <f t="shared" si="54"/>
        <v>20240703</v>
      </c>
      <c r="B267" s="2" t="str">
        <f>"30120233"</f>
        <v>30120233</v>
      </c>
      <c r="C267" s="2" t="str">
        <f>"김자은"</f>
        <v>김자은</v>
      </c>
      <c r="D267" s="2" t="str">
        <f>"F"</f>
        <v>F</v>
      </c>
      <c r="E267" s="2" t="str">
        <f>"19930830"</f>
        <v>19930830</v>
      </c>
      <c r="F267" s="2" t="str">
        <f>"30"</f>
        <v>30</v>
      </c>
      <c r="G267" s="2" t="str">
        <f t="shared" si="52"/>
        <v>E78660</v>
      </c>
      <c r="H267" s="2" t="str">
        <f t="shared" si="53"/>
        <v>가톨릭대학교 서울성모병원</v>
      </c>
      <c r="I267" s="2" t="str">
        <f t="shared" si="48"/>
        <v>특수</v>
      </c>
    </row>
    <row r="268" spans="1:9" x14ac:dyDescent="0.3">
      <c r="A268" s="2" t="str">
        <f t="shared" si="54"/>
        <v>20240703</v>
      </c>
      <c r="B268" s="2" t="str">
        <f>"37011301"</f>
        <v>37011301</v>
      </c>
      <c r="C268" s="2" t="str">
        <f>"김유진"</f>
        <v>김유진</v>
      </c>
      <c r="D268" s="2" t="str">
        <f>"F"</f>
        <v>F</v>
      </c>
      <c r="E268" s="2" t="str">
        <f>"19921205"</f>
        <v>19921205</v>
      </c>
      <c r="F268" s="2" t="str">
        <f>"31"</f>
        <v>31</v>
      </c>
      <c r="G268" s="2" t="str">
        <f t="shared" si="52"/>
        <v>E78660</v>
      </c>
      <c r="H268" s="2" t="str">
        <f t="shared" si="53"/>
        <v>가톨릭대학교 서울성모병원</v>
      </c>
      <c r="I268" s="2" t="str">
        <f t="shared" si="48"/>
        <v>특수</v>
      </c>
    </row>
    <row r="269" spans="1:9" x14ac:dyDescent="0.3">
      <c r="A269" s="2" t="str">
        <f t="shared" si="54"/>
        <v>20240703</v>
      </c>
      <c r="B269" s="2" t="str">
        <f>"37056104"</f>
        <v>37056104</v>
      </c>
      <c r="C269" s="2" t="str">
        <f>"조성아"</f>
        <v>조성아</v>
      </c>
      <c r="D269" s="2" t="str">
        <f>"F"</f>
        <v>F</v>
      </c>
      <c r="E269" s="2" t="str">
        <f>"19941202"</f>
        <v>19941202</v>
      </c>
      <c r="F269" s="2" t="str">
        <f>"29"</f>
        <v>29</v>
      </c>
      <c r="G269" s="2" t="str">
        <f t="shared" si="52"/>
        <v>E78660</v>
      </c>
      <c r="H269" s="2" t="str">
        <f t="shared" si="53"/>
        <v>가톨릭대학교 서울성모병원</v>
      </c>
      <c r="I269" s="2" t="str">
        <f t="shared" si="48"/>
        <v>특수</v>
      </c>
    </row>
    <row r="270" spans="1:9" x14ac:dyDescent="0.3">
      <c r="A270" s="2" t="str">
        <f>"20240704"</f>
        <v>20240704</v>
      </c>
      <c r="B270" s="2" t="str">
        <f>"13014550"</f>
        <v>13014550</v>
      </c>
      <c r="C270" s="2" t="str">
        <f>"김영일"</f>
        <v>김영일</v>
      </c>
      <c r="D270" s="2" t="str">
        <f>"M"</f>
        <v>M</v>
      </c>
      <c r="E270" s="2" t="str">
        <f>"19730124"</f>
        <v>19730124</v>
      </c>
      <c r="F270" s="2" t="str">
        <f>"51"</f>
        <v>51</v>
      </c>
      <c r="G270" s="2" t="str">
        <f t="shared" si="52"/>
        <v>E78660</v>
      </c>
      <c r="H270" s="2" t="str">
        <f t="shared" si="53"/>
        <v>가톨릭대학교 서울성모병원</v>
      </c>
      <c r="I270" s="2" t="str">
        <f t="shared" si="48"/>
        <v>특수</v>
      </c>
    </row>
    <row r="271" spans="1:9" x14ac:dyDescent="0.3">
      <c r="A271" s="2" t="str">
        <f>"20240704"</f>
        <v>20240704</v>
      </c>
      <c r="B271" s="2" t="str">
        <f>"29315874"</f>
        <v>29315874</v>
      </c>
      <c r="C271" s="2" t="str">
        <f>"성정우"</f>
        <v>성정우</v>
      </c>
      <c r="D271" s="2" t="str">
        <f>"F"</f>
        <v>F</v>
      </c>
      <c r="E271" s="2" t="str">
        <f>"19920504"</f>
        <v>19920504</v>
      </c>
      <c r="F271" s="2" t="str">
        <f>"32"</f>
        <v>32</v>
      </c>
      <c r="G271" s="2" t="str">
        <f t="shared" si="52"/>
        <v>E78660</v>
      </c>
      <c r="H271" s="2" t="str">
        <f t="shared" si="53"/>
        <v>가톨릭대학교 서울성모병원</v>
      </c>
      <c r="I271" s="2" t="str">
        <f t="shared" si="48"/>
        <v>특수</v>
      </c>
    </row>
    <row r="272" spans="1:9" x14ac:dyDescent="0.3">
      <c r="A272" s="2" t="str">
        <f>"20240704"</f>
        <v>20240704</v>
      </c>
      <c r="B272" s="2" t="str">
        <f>"35780193"</f>
        <v>35780193</v>
      </c>
      <c r="C272" s="2" t="str">
        <f>"윤경진"</f>
        <v>윤경진</v>
      </c>
      <c r="D272" s="2" t="str">
        <f>"F"</f>
        <v>F</v>
      </c>
      <c r="E272" s="2" t="str">
        <f>"19970425"</f>
        <v>19970425</v>
      </c>
      <c r="F272" s="2" t="str">
        <f>"27"</f>
        <v>27</v>
      </c>
      <c r="G272" s="2" t="str">
        <f t="shared" si="52"/>
        <v>E78660</v>
      </c>
      <c r="H272" s="2" t="str">
        <f t="shared" si="53"/>
        <v>가톨릭대학교 서울성모병원</v>
      </c>
      <c r="I272" s="2" t="str">
        <f t="shared" si="48"/>
        <v>특수</v>
      </c>
    </row>
    <row r="273" spans="1:9" x14ac:dyDescent="0.3">
      <c r="A273" s="2" t="str">
        <f>"20240704"</f>
        <v>20240704</v>
      </c>
      <c r="B273" s="2" t="str">
        <f>"36935631"</f>
        <v>36935631</v>
      </c>
      <c r="C273" s="2" t="str">
        <f>"김소영"</f>
        <v>김소영</v>
      </c>
      <c r="D273" s="2" t="str">
        <f>"F"</f>
        <v>F</v>
      </c>
      <c r="E273" s="2" t="str">
        <f>"19990108"</f>
        <v>19990108</v>
      </c>
      <c r="F273" s="2" t="str">
        <f>"25"</f>
        <v>25</v>
      </c>
      <c r="G273" s="2" t="str">
        <f t="shared" si="52"/>
        <v>E78660</v>
      </c>
      <c r="H273" s="2" t="str">
        <f t="shared" si="53"/>
        <v>가톨릭대학교 서울성모병원</v>
      </c>
      <c r="I273" s="2" t="str">
        <f t="shared" si="48"/>
        <v>특수</v>
      </c>
    </row>
    <row r="274" spans="1:9" x14ac:dyDescent="0.3">
      <c r="A274" s="2" t="str">
        <f>"20240704"</f>
        <v>20240704</v>
      </c>
      <c r="B274" s="2" t="str">
        <f>"38687361"</f>
        <v>38687361</v>
      </c>
      <c r="C274" s="2" t="str">
        <f>"남혜린"</f>
        <v>남혜린</v>
      </c>
      <c r="D274" s="2" t="str">
        <f>"F"</f>
        <v>F</v>
      </c>
      <c r="E274" s="2" t="str">
        <f>"19990606"</f>
        <v>19990606</v>
      </c>
      <c r="F274" s="2" t="str">
        <f>"25"</f>
        <v>25</v>
      </c>
      <c r="G274" s="2" t="str">
        <f t="shared" si="52"/>
        <v>E78660</v>
      </c>
      <c r="H274" s="2" t="str">
        <f t="shared" si="53"/>
        <v>가톨릭대학교 서울성모병원</v>
      </c>
      <c r="I274" s="2" t="str">
        <f t="shared" si="48"/>
        <v>특수</v>
      </c>
    </row>
    <row r="275" spans="1:9" x14ac:dyDescent="0.3">
      <c r="A275" s="2" t="str">
        <f t="shared" ref="A275:A283" si="55">"20240708"</f>
        <v>20240708</v>
      </c>
      <c r="B275" s="2" t="str">
        <f>"20341306"</f>
        <v>20341306</v>
      </c>
      <c r="C275" s="2" t="str">
        <f>"정승환"</f>
        <v>정승환</v>
      </c>
      <c r="D275" s="2" t="str">
        <f>"M"</f>
        <v>M</v>
      </c>
      <c r="E275" s="2" t="str">
        <f>"19690714"</f>
        <v>19690714</v>
      </c>
      <c r="F275" s="2" t="str">
        <f>"55"</f>
        <v>55</v>
      </c>
      <c r="G275" s="2" t="str">
        <f t="shared" si="52"/>
        <v>E78660</v>
      </c>
      <c r="H275" s="2" t="str">
        <f t="shared" si="53"/>
        <v>가톨릭대학교 서울성모병원</v>
      </c>
      <c r="I275" s="2" t="str">
        <f t="shared" si="48"/>
        <v>특수</v>
      </c>
    </row>
    <row r="276" spans="1:9" x14ac:dyDescent="0.3">
      <c r="A276" s="2" t="str">
        <f t="shared" si="55"/>
        <v>20240708</v>
      </c>
      <c r="B276" s="2" t="str">
        <f>"23135254"</f>
        <v>23135254</v>
      </c>
      <c r="C276" s="2" t="str">
        <f>"이서윤"</f>
        <v>이서윤</v>
      </c>
      <c r="D276" s="2" t="str">
        <f t="shared" ref="D276:D281" si="56">"F"</f>
        <v>F</v>
      </c>
      <c r="E276" s="2" t="str">
        <f>"19810723"</f>
        <v>19810723</v>
      </c>
      <c r="F276" s="2" t="str">
        <f>"42"</f>
        <v>42</v>
      </c>
      <c r="G276" s="2" t="str">
        <f t="shared" si="52"/>
        <v>E78660</v>
      </c>
      <c r="H276" s="2" t="str">
        <f t="shared" si="53"/>
        <v>가톨릭대학교 서울성모병원</v>
      </c>
      <c r="I276" s="2" t="str">
        <f t="shared" si="48"/>
        <v>특수</v>
      </c>
    </row>
    <row r="277" spans="1:9" x14ac:dyDescent="0.3">
      <c r="A277" s="2" t="str">
        <f t="shared" si="55"/>
        <v>20240708</v>
      </c>
      <c r="B277" s="2" t="str">
        <f>"27274233"</f>
        <v>27274233</v>
      </c>
      <c r="C277" s="2" t="str">
        <f>"김하림"</f>
        <v>김하림</v>
      </c>
      <c r="D277" s="2" t="str">
        <f t="shared" si="56"/>
        <v>F</v>
      </c>
      <c r="E277" s="2" t="str">
        <f>"19950202"</f>
        <v>19950202</v>
      </c>
      <c r="F277" s="2" t="str">
        <f>"29"</f>
        <v>29</v>
      </c>
      <c r="G277" s="2" t="str">
        <f t="shared" si="52"/>
        <v>E78660</v>
      </c>
      <c r="H277" s="2" t="str">
        <f t="shared" si="53"/>
        <v>가톨릭대학교 서울성모병원</v>
      </c>
      <c r="I277" s="2" t="str">
        <f t="shared" si="48"/>
        <v>특수</v>
      </c>
    </row>
    <row r="278" spans="1:9" x14ac:dyDescent="0.3">
      <c r="A278" s="2" t="str">
        <f t="shared" si="55"/>
        <v>20240708</v>
      </c>
      <c r="B278" s="2" t="str">
        <f>"32697804"</f>
        <v>32697804</v>
      </c>
      <c r="C278" s="2" t="str">
        <f>"이수진"</f>
        <v>이수진</v>
      </c>
      <c r="D278" s="2" t="str">
        <f t="shared" si="56"/>
        <v>F</v>
      </c>
      <c r="E278" s="2" t="str">
        <f>"19961027"</f>
        <v>19961027</v>
      </c>
      <c r="F278" s="2" t="str">
        <f>"27"</f>
        <v>27</v>
      </c>
      <c r="G278" s="2" t="str">
        <f t="shared" si="52"/>
        <v>E78660</v>
      </c>
      <c r="H278" s="2" t="str">
        <f t="shared" si="53"/>
        <v>가톨릭대학교 서울성모병원</v>
      </c>
      <c r="I278" s="2" t="str">
        <f t="shared" si="48"/>
        <v>특수</v>
      </c>
    </row>
    <row r="279" spans="1:9" x14ac:dyDescent="0.3">
      <c r="A279" s="2" t="str">
        <f t="shared" si="55"/>
        <v>20240708</v>
      </c>
      <c r="B279" s="2" t="str">
        <f>"34708516"</f>
        <v>34708516</v>
      </c>
      <c r="C279" s="2" t="str">
        <f>"김혜림"</f>
        <v>김혜림</v>
      </c>
      <c r="D279" s="2" t="str">
        <f t="shared" si="56"/>
        <v>F</v>
      </c>
      <c r="E279" s="2" t="str">
        <f>"19930407"</f>
        <v>19930407</v>
      </c>
      <c r="F279" s="2" t="str">
        <f>"31"</f>
        <v>31</v>
      </c>
      <c r="G279" s="2" t="str">
        <f t="shared" si="52"/>
        <v>E78660</v>
      </c>
      <c r="H279" s="2" t="str">
        <f t="shared" si="53"/>
        <v>가톨릭대학교 서울성모병원</v>
      </c>
      <c r="I279" s="2" t="str">
        <f t="shared" si="48"/>
        <v>특수</v>
      </c>
    </row>
    <row r="280" spans="1:9" x14ac:dyDescent="0.3">
      <c r="A280" s="2" t="str">
        <f t="shared" si="55"/>
        <v>20240708</v>
      </c>
      <c r="B280" s="2" t="str">
        <f>"36152056"</f>
        <v>36152056</v>
      </c>
      <c r="C280" s="2" t="str">
        <f>"최수현"</f>
        <v>최수현</v>
      </c>
      <c r="D280" s="2" t="str">
        <f t="shared" si="56"/>
        <v>F</v>
      </c>
      <c r="E280" s="2" t="str">
        <f>"19980903"</f>
        <v>19980903</v>
      </c>
      <c r="F280" s="2" t="str">
        <f>"25"</f>
        <v>25</v>
      </c>
      <c r="G280" s="2" t="str">
        <f t="shared" si="52"/>
        <v>E78660</v>
      </c>
      <c r="H280" s="2" t="str">
        <f t="shared" si="53"/>
        <v>가톨릭대학교 서울성모병원</v>
      </c>
      <c r="I280" s="2" t="str">
        <f t="shared" si="48"/>
        <v>특수</v>
      </c>
    </row>
    <row r="281" spans="1:9" x14ac:dyDescent="0.3">
      <c r="A281" s="2" t="str">
        <f t="shared" si="55"/>
        <v>20240708</v>
      </c>
      <c r="B281" s="2" t="str">
        <f>"39043055"</f>
        <v>39043055</v>
      </c>
      <c r="C281" s="2" t="str">
        <f>"강유진"</f>
        <v>강유진</v>
      </c>
      <c r="D281" s="2" t="str">
        <f t="shared" si="56"/>
        <v>F</v>
      </c>
      <c r="E281" s="2" t="str">
        <f>"19971107"</f>
        <v>19971107</v>
      </c>
      <c r="F281" s="2" t="str">
        <f>"26"</f>
        <v>26</v>
      </c>
      <c r="G281" s="2" t="str">
        <f t="shared" si="52"/>
        <v>E78660</v>
      </c>
      <c r="H281" s="2" t="str">
        <f t="shared" si="53"/>
        <v>가톨릭대학교 서울성모병원</v>
      </c>
      <c r="I281" s="2" t="str">
        <f>"배치후"</f>
        <v>배치후</v>
      </c>
    </row>
    <row r="282" spans="1:9" x14ac:dyDescent="0.3">
      <c r="A282" s="2" t="str">
        <f t="shared" si="55"/>
        <v>20240708</v>
      </c>
      <c r="B282" s="2" t="str">
        <f>"8963436"</f>
        <v>8963436</v>
      </c>
      <c r="C282" s="2" t="str">
        <f>"조원형"</f>
        <v>조원형</v>
      </c>
      <c r="D282" s="2" t="str">
        <f>"M"</f>
        <v>M</v>
      </c>
      <c r="E282" s="2" t="str">
        <f>"19670115"</f>
        <v>19670115</v>
      </c>
      <c r="F282" s="2" t="str">
        <f>"57"</f>
        <v>57</v>
      </c>
      <c r="G282" s="2" t="str">
        <f t="shared" si="52"/>
        <v>E78660</v>
      </c>
      <c r="H282" s="2" t="str">
        <f t="shared" si="53"/>
        <v>가톨릭대학교 서울성모병원</v>
      </c>
      <c r="I282" s="2" t="str">
        <f t="shared" ref="I282:I313" si="57">"특수"</f>
        <v>특수</v>
      </c>
    </row>
    <row r="283" spans="1:9" x14ac:dyDescent="0.3">
      <c r="A283" s="2" t="str">
        <f t="shared" si="55"/>
        <v>20240708</v>
      </c>
      <c r="B283" s="2" t="str">
        <f>"9780996"</f>
        <v>9780996</v>
      </c>
      <c r="C283" s="2" t="str">
        <f>"김광용"</f>
        <v>김광용</v>
      </c>
      <c r="D283" s="2" t="str">
        <f>"M"</f>
        <v>M</v>
      </c>
      <c r="E283" s="2" t="str">
        <f>"19680313"</f>
        <v>19680313</v>
      </c>
      <c r="F283" s="2" t="str">
        <f>"56"</f>
        <v>56</v>
      </c>
      <c r="G283" s="2" t="str">
        <f t="shared" si="52"/>
        <v>E78660</v>
      </c>
      <c r="H283" s="2" t="str">
        <f t="shared" si="53"/>
        <v>가톨릭대학교 서울성모병원</v>
      </c>
      <c r="I283" s="2" t="str">
        <f t="shared" si="57"/>
        <v>특수</v>
      </c>
    </row>
    <row r="284" spans="1:9" x14ac:dyDescent="0.3">
      <c r="A284" s="2" t="str">
        <f t="shared" ref="A284:A290" si="58">"20240709"</f>
        <v>20240709</v>
      </c>
      <c r="B284" s="2" t="str">
        <f>"10232653"</f>
        <v>10232653</v>
      </c>
      <c r="C284" s="2" t="str">
        <f>"이연희"</f>
        <v>이연희</v>
      </c>
      <c r="D284" s="2" t="str">
        <f>"F"</f>
        <v>F</v>
      </c>
      <c r="E284" s="2" t="str">
        <f>"19740815"</f>
        <v>19740815</v>
      </c>
      <c r="F284" s="2" t="str">
        <f>"49"</f>
        <v>49</v>
      </c>
      <c r="G284" s="2" t="str">
        <f t="shared" si="52"/>
        <v>E78660</v>
      </c>
      <c r="H284" s="2" t="str">
        <f t="shared" si="53"/>
        <v>가톨릭대학교 서울성모병원</v>
      </c>
      <c r="I284" s="2" t="str">
        <f t="shared" si="57"/>
        <v>특수</v>
      </c>
    </row>
    <row r="285" spans="1:9" x14ac:dyDescent="0.3">
      <c r="A285" s="2" t="str">
        <f t="shared" si="58"/>
        <v>20240709</v>
      </c>
      <c r="B285" s="2" t="str">
        <f>"17706509"</f>
        <v>17706509</v>
      </c>
      <c r="C285" s="2" t="str">
        <f>"이영미"</f>
        <v>이영미</v>
      </c>
      <c r="D285" s="2" t="str">
        <f>"F"</f>
        <v>F</v>
      </c>
      <c r="E285" s="2" t="str">
        <f>"19770409"</f>
        <v>19770409</v>
      </c>
      <c r="F285" s="2" t="str">
        <f>"47"</f>
        <v>47</v>
      </c>
      <c r="G285" s="2" t="str">
        <f t="shared" si="52"/>
        <v>E78660</v>
      </c>
      <c r="H285" s="2" t="str">
        <f t="shared" si="53"/>
        <v>가톨릭대학교 서울성모병원</v>
      </c>
      <c r="I285" s="2" t="str">
        <f t="shared" si="57"/>
        <v>특수</v>
      </c>
    </row>
    <row r="286" spans="1:9" x14ac:dyDescent="0.3">
      <c r="A286" s="2" t="str">
        <f t="shared" si="58"/>
        <v>20240709</v>
      </c>
      <c r="B286" s="2" t="str">
        <f>"18466480"</f>
        <v>18466480</v>
      </c>
      <c r="C286" s="2" t="str">
        <f>"채보현"</f>
        <v>채보현</v>
      </c>
      <c r="D286" s="2" t="str">
        <f>"F"</f>
        <v>F</v>
      </c>
      <c r="E286" s="2" t="str">
        <f>"19870310"</f>
        <v>19870310</v>
      </c>
      <c r="F286" s="2" t="str">
        <f>"37"</f>
        <v>37</v>
      </c>
      <c r="G286" s="2" t="str">
        <f t="shared" si="52"/>
        <v>E78660</v>
      </c>
      <c r="H286" s="2" t="str">
        <f t="shared" si="53"/>
        <v>가톨릭대학교 서울성모병원</v>
      </c>
      <c r="I286" s="2" t="str">
        <f t="shared" si="57"/>
        <v>특수</v>
      </c>
    </row>
    <row r="287" spans="1:9" x14ac:dyDescent="0.3">
      <c r="A287" s="2" t="str">
        <f t="shared" si="58"/>
        <v>20240709</v>
      </c>
      <c r="B287" s="2" t="str">
        <f>"22520671"</f>
        <v>22520671</v>
      </c>
      <c r="C287" s="2" t="str">
        <f>"김태연"</f>
        <v>김태연</v>
      </c>
      <c r="D287" s="2" t="str">
        <f>"F"</f>
        <v>F</v>
      </c>
      <c r="E287" s="2" t="str">
        <f>"19861116"</f>
        <v>19861116</v>
      </c>
      <c r="F287" s="2" t="str">
        <f>"37"</f>
        <v>37</v>
      </c>
      <c r="G287" s="2" t="str">
        <f t="shared" si="52"/>
        <v>E78660</v>
      </c>
      <c r="H287" s="2" t="str">
        <f t="shared" si="53"/>
        <v>가톨릭대학교 서울성모병원</v>
      </c>
      <c r="I287" s="2" t="str">
        <f t="shared" si="57"/>
        <v>특수</v>
      </c>
    </row>
    <row r="288" spans="1:9" x14ac:dyDescent="0.3">
      <c r="A288" s="2" t="str">
        <f t="shared" si="58"/>
        <v>20240709</v>
      </c>
      <c r="B288" s="2" t="str">
        <f>"30119223"</f>
        <v>30119223</v>
      </c>
      <c r="C288" s="2" t="str">
        <f>"김휘빈"</f>
        <v>김휘빈</v>
      </c>
      <c r="D288" s="2" t="str">
        <f>"M"</f>
        <v>M</v>
      </c>
      <c r="E288" s="2" t="str">
        <f>"19891026"</f>
        <v>19891026</v>
      </c>
      <c r="F288" s="2" t="str">
        <f>"34"</f>
        <v>34</v>
      </c>
      <c r="G288" s="2" t="str">
        <f t="shared" si="52"/>
        <v>E78660</v>
      </c>
      <c r="H288" s="2" t="str">
        <f t="shared" si="53"/>
        <v>가톨릭대학교 서울성모병원</v>
      </c>
      <c r="I288" s="2" t="str">
        <f t="shared" si="57"/>
        <v>특수</v>
      </c>
    </row>
    <row r="289" spans="1:9" x14ac:dyDescent="0.3">
      <c r="A289" s="2" t="str">
        <f t="shared" si="58"/>
        <v>20240709</v>
      </c>
      <c r="B289" s="2" t="str">
        <f>"34067862"</f>
        <v>34067862</v>
      </c>
      <c r="C289" s="2" t="str">
        <f>"김승혜"</f>
        <v>김승혜</v>
      </c>
      <c r="D289" s="2" t="str">
        <f>"F"</f>
        <v>F</v>
      </c>
      <c r="E289" s="2" t="str">
        <f>"19960812"</f>
        <v>19960812</v>
      </c>
      <c r="F289" s="2" t="str">
        <f>"27"</f>
        <v>27</v>
      </c>
      <c r="G289" s="2" t="str">
        <f t="shared" si="52"/>
        <v>E78660</v>
      </c>
      <c r="H289" s="2" t="str">
        <f t="shared" si="53"/>
        <v>가톨릭대학교 서울성모병원</v>
      </c>
      <c r="I289" s="2" t="str">
        <f t="shared" si="57"/>
        <v>특수</v>
      </c>
    </row>
    <row r="290" spans="1:9" x14ac:dyDescent="0.3">
      <c r="A290" s="2" t="str">
        <f t="shared" si="58"/>
        <v>20240709</v>
      </c>
      <c r="B290" s="2" t="str">
        <f>"8229703"</f>
        <v>8229703</v>
      </c>
      <c r="C290" s="2" t="str">
        <f>"노정화"</f>
        <v>노정화</v>
      </c>
      <c r="D290" s="2" t="str">
        <f>"F"</f>
        <v>F</v>
      </c>
      <c r="E290" s="2" t="str">
        <f>"19720505"</f>
        <v>19720505</v>
      </c>
      <c r="F290" s="2" t="str">
        <f>"52"</f>
        <v>52</v>
      </c>
      <c r="G290" s="2" t="str">
        <f t="shared" si="52"/>
        <v>E78660</v>
      </c>
      <c r="H290" s="2" t="str">
        <f t="shared" si="53"/>
        <v>가톨릭대학교 서울성모병원</v>
      </c>
      <c r="I290" s="2" t="str">
        <f t="shared" si="57"/>
        <v>특수</v>
      </c>
    </row>
    <row r="291" spans="1:9" x14ac:dyDescent="0.3">
      <c r="A291" s="2" t="str">
        <f t="shared" ref="A291:A299" si="59">"20240710"</f>
        <v>20240710</v>
      </c>
      <c r="B291" s="2" t="str">
        <f>"17941410"</f>
        <v>17941410</v>
      </c>
      <c r="C291" s="2" t="str">
        <f>"조봉래"</f>
        <v>조봉래</v>
      </c>
      <c r="D291" s="2" t="str">
        <f>"M"</f>
        <v>M</v>
      </c>
      <c r="E291" s="2" t="str">
        <f>"19790218"</f>
        <v>19790218</v>
      </c>
      <c r="F291" s="2" t="str">
        <f>"45"</f>
        <v>45</v>
      </c>
      <c r="G291" s="2" t="str">
        <f t="shared" si="52"/>
        <v>E78660</v>
      </c>
      <c r="H291" s="2" t="str">
        <f t="shared" si="53"/>
        <v>가톨릭대학교 서울성모병원</v>
      </c>
      <c r="I291" s="2" t="str">
        <f t="shared" si="57"/>
        <v>특수</v>
      </c>
    </row>
    <row r="292" spans="1:9" x14ac:dyDescent="0.3">
      <c r="A292" s="2" t="str">
        <f t="shared" si="59"/>
        <v>20240710</v>
      </c>
      <c r="B292" s="2" t="str">
        <f>"19072990"</f>
        <v>19072990</v>
      </c>
      <c r="C292" s="2" t="str">
        <f>"이지은"</f>
        <v>이지은</v>
      </c>
      <c r="D292" s="2" t="str">
        <f>"F"</f>
        <v>F</v>
      </c>
      <c r="E292" s="2" t="str">
        <f>"19870222"</f>
        <v>19870222</v>
      </c>
      <c r="F292" s="2" t="str">
        <f>"37"</f>
        <v>37</v>
      </c>
      <c r="G292" s="2" t="str">
        <f t="shared" si="52"/>
        <v>E78660</v>
      </c>
      <c r="H292" s="2" t="str">
        <f t="shared" si="53"/>
        <v>가톨릭대학교 서울성모병원</v>
      </c>
      <c r="I292" s="2" t="str">
        <f t="shared" si="57"/>
        <v>특수</v>
      </c>
    </row>
    <row r="293" spans="1:9" x14ac:dyDescent="0.3">
      <c r="A293" s="2" t="str">
        <f t="shared" si="59"/>
        <v>20240710</v>
      </c>
      <c r="B293" s="2" t="str">
        <f>"19111953"</f>
        <v>19111953</v>
      </c>
      <c r="C293" s="2" t="str">
        <f>"문병현"</f>
        <v>문병현</v>
      </c>
      <c r="D293" s="2" t="str">
        <f>"M"</f>
        <v>M</v>
      </c>
      <c r="E293" s="2" t="str">
        <f>"19830601"</f>
        <v>19830601</v>
      </c>
      <c r="F293" s="2" t="str">
        <f>"41"</f>
        <v>41</v>
      </c>
      <c r="G293" s="2" t="str">
        <f t="shared" si="52"/>
        <v>E78660</v>
      </c>
      <c r="H293" s="2" t="str">
        <f t="shared" si="53"/>
        <v>가톨릭대학교 서울성모병원</v>
      </c>
      <c r="I293" s="2" t="str">
        <f t="shared" si="57"/>
        <v>특수</v>
      </c>
    </row>
    <row r="294" spans="1:9" x14ac:dyDescent="0.3">
      <c r="A294" s="2" t="str">
        <f t="shared" si="59"/>
        <v>20240710</v>
      </c>
      <c r="B294" s="2" t="str">
        <f>"30982672"</f>
        <v>30982672</v>
      </c>
      <c r="C294" s="2" t="str">
        <f>"김충섭"</f>
        <v>김충섭</v>
      </c>
      <c r="D294" s="2" t="str">
        <f>"M"</f>
        <v>M</v>
      </c>
      <c r="E294" s="2" t="str">
        <f>"19930825"</f>
        <v>19930825</v>
      </c>
      <c r="F294" s="2" t="str">
        <f>"30"</f>
        <v>30</v>
      </c>
      <c r="G294" s="2" t="str">
        <f t="shared" si="52"/>
        <v>E78660</v>
      </c>
      <c r="H294" s="2" t="str">
        <f t="shared" si="53"/>
        <v>가톨릭대학교 서울성모병원</v>
      </c>
      <c r="I294" s="2" t="str">
        <f t="shared" si="57"/>
        <v>특수</v>
      </c>
    </row>
    <row r="295" spans="1:9" x14ac:dyDescent="0.3">
      <c r="A295" s="2" t="str">
        <f t="shared" si="59"/>
        <v>20240710</v>
      </c>
      <c r="B295" s="2" t="str">
        <f>"32797713"</f>
        <v>32797713</v>
      </c>
      <c r="C295" s="2" t="str">
        <f>"서희영"</f>
        <v>서희영</v>
      </c>
      <c r="D295" s="2" t="str">
        <f>"F"</f>
        <v>F</v>
      </c>
      <c r="E295" s="2" t="str">
        <f>"19950225"</f>
        <v>19950225</v>
      </c>
      <c r="F295" s="2" t="str">
        <f>"29"</f>
        <v>29</v>
      </c>
      <c r="G295" s="2" t="str">
        <f t="shared" si="52"/>
        <v>E78660</v>
      </c>
      <c r="H295" s="2" t="str">
        <f t="shared" si="53"/>
        <v>가톨릭대학교 서울성모병원</v>
      </c>
      <c r="I295" s="2" t="str">
        <f t="shared" si="57"/>
        <v>특수</v>
      </c>
    </row>
    <row r="296" spans="1:9" x14ac:dyDescent="0.3">
      <c r="A296" s="2" t="str">
        <f t="shared" si="59"/>
        <v>20240710</v>
      </c>
      <c r="B296" s="2" t="str">
        <f>"3586875"</f>
        <v>3586875</v>
      </c>
      <c r="C296" s="2" t="str">
        <f>"김택춘"</f>
        <v>김택춘</v>
      </c>
      <c r="D296" s="2" t="str">
        <f>"M"</f>
        <v>M</v>
      </c>
      <c r="E296" s="2" t="str">
        <f>"19741120"</f>
        <v>19741120</v>
      </c>
      <c r="F296" s="2" t="str">
        <f>"49"</f>
        <v>49</v>
      </c>
      <c r="G296" s="2" t="str">
        <f t="shared" si="52"/>
        <v>E78660</v>
      </c>
      <c r="H296" s="2" t="str">
        <f t="shared" si="53"/>
        <v>가톨릭대학교 서울성모병원</v>
      </c>
      <c r="I296" s="2" t="str">
        <f t="shared" si="57"/>
        <v>특수</v>
      </c>
    </row>
    <row r="297" spans="1:9" x14ac:dyDescent="0.3">
      <c r="A297" s="2" t="str">
        <f t="shared" si="59"/>
        <v>20240710</v>
      </c>
      <c r="B297" s="2" t="str">
        <f>"38310234"</f>
        <v>38310234</v>
      </c>
      <c r="C297" s="2" t="str">
        <f>"나지현"</f>
        <v>나지현</v>
      </c>
      <c r="D297" s="2" t="str">
        <f>"F"</f>
        <v>F</v>
      </c>
      <c r="E297" s="2" t="str">
        <f>"20000705"</f>
        <v>20000705</v>
      </c>
      <c r="F297" s="2" t="str">
        <f>"24"</f>
        <v>24</v>
      </c>
      <c r="G297" s="2" t="str">
        <f t="shared" si="52"/>
        <v>E78660</v>
      </c>
      <c r="H297" s="2" t="str">
        <f t="shared" si="53"/>
        <v>가톨릭대학교 서울성모병원</v>
      </c>
      <c r="I297" s="2" t="str">
        <f t="shared" si="57"/>
        <v>특수</v>
      </c>
    </row>
    <row r="298" spans="1:9" x14ac:dyDescent="0.3">
      <c r="A298" s="2" t="str">
        <f t="shared" si="59"/>
        <v>20240710</v>
      </c>
      <c r="B298" s="2" t="str">
        <f>"38485651"</f>
        <v>38485651</v>
      </c>
      <c r="C298" s="2" t="str">
        <f>"김명신"</f>
        <v>김명신</v>
      </c>
      <c r="D298" s="2" t="str">
        <f>"F"</f>
        <v>F</v>
      </c>
      <c r="E298" s="2" t="str">
        <f>"19680417"</f>
        <v>19680417</v>
      </c>
      <c r="F298" s="2" t="str">
        <f>"56"</f>
        <v>56</v>
      </c>
      <c r="G298" s="2" t="str">
        <f t="shared" si="52"/>
        <v>E78660</v>
      </c>
      <c r="H298" s="2" t="str">
        <f t="shared" si="53"/>
        <v>가톨릭대학교 서울성모병원</v>
      </c>
      <c r="I298" s="2" t="str">
        <f t="shared" si="57"/>
        <v>특수</v>
      </c>
    </row>
    <row r="299" spans="1:9" x14ac:dyDescent="0.3">
      <c r="A299" s="2" t="str">
        <f t="shared" si="59"/>
        <v>20240710</v>
      </c>
      <c r="B299" s="2" t="str">
        <f>"6667082"</f>
        <v>6667082</v>
      </c>
      <c r="C299" s="2" t="str">
        <f>"임홍재"</f>
        <v>임홍재</v>
      </c>
      <c r="D299" s="2" t="str">
        <f>"M"</f>
        <v>M</v>
      </c>
      <c r="E299" s="2" t="str">
        <f>"19730103"</f>
        <v>19730103</v>
      </c>
      <c r="F299" s="2" t="str">
        <f>"51"</f>
        <v>51</v>
      </c>
      <c r="G299" s="2" t="str">
        <f t="shared" si="52"/>
        <v>E78660</v>
      </c>
      <c r="H299" s="2" t="str">
        <f t="shared" si="53"/>
        <v>가톨릭대학교 서울성모병원</v>
      </c>
      <c r="I299" s="2" t="str">
        <f t="shared" si="57"/>
        <v>특수</v>
      </c>
    </row>
    <row r="300" spans="1:9" x14ac:dyDescent="0.3">
      <c r="A300" s="2" t="str">
        <f t="shared" ref="A300:A305" si="60">"20240711"</f>
        <v>20240711</v>
      </c>
      <c r="B300" s="2" t="str">
        <f>"23676414"</f>
        <v>23676414</v>
      </c>
      <c r="C300" s="2" t="str">
        <f>"정현진"</f>
        <v>정현진</v>
      </c>
      <c r="D300" s="2" t="str">
        <f>"F"</f>
        <v>F</v>
      </c>
      <c r="E300" s="2" t="str">
        <f>"19930222"</f>
        <v>19930222</v>
      </c>
      <c r="F300" s="2" t="str">
        <f>"31"</f>
        <v>31</v>
      </c>
      <c r="G300" s="2" t="str">
        <f t="shared" si="52"/>
        <v>E78660</v>
      </c>
      <c r="H300" s="2" t="str">
        <f t="shared" si="53"/>
        <v>가톨릭대학교 서울성모병원</v>
      </c>
      <c r="I300" s="2" t="str">
        <f t="shared" si="57"/>
        <v>특수</v>
      </c>
    </row>
    <row r="301" spans="1:9" x14ac:dyDescent="0.3">
      <c r="A301" s="2" t="str">
        <f t="shared" si="60"/>
        <v>20240711</v>
      </c>
      <c r="B301" s="2" t="str">
        <f>"29641801"</f>
        <v>29641801</v>
      </c>
      <c r="C301" s="2" t="str">
        <f>"박예진"</f>
        <v>박예진</v>
      </c>
      <c r="D301" s="2" t="str">
        <f>"F"</f>
        <v>F</v>
      </c>
      <c r="E301" s="2" t="str">
        <f>"19970819"</f>
        <v>19970819</v>
      </c>
      <c r="F301" s="2" t="str">
        <f>"26"</f>
        <v>26</v>
      </c>
      <c r="G301" s="2" t="str">
        <f t="shared" si="52"/>
        <v>E78660</v>
      </c>
      <c r="H301" s="2" t="str">
        <f t="shared" si="53"/>
        <v>가톨릭대학교 서울성모병원</v>
      </c>
      <c r="I301" s="2" t="str">
        <f t="shared" si="57"/>
        <v>특수</v>
      </c>
    </row>
    <row r="302" spans="1:9" x14ac:dyDescent="0.3">
      <c r="A302" s="2" t="str">
        <f t="shared" si="60"/>
        <v>20240711</v>
      </c>
      <c r="B302" s="2" t="str">
        <f>"32008223"</f>
        <v>32008223</v>
      </c>
      <c r="C302" s="2" t="str">
        <f>"김민서"</f>
        <v>김민서</v>
      </c>
      <c r="D302" s="2" t="str">
        <f>"F"</f>
        <v>F</v>
      </c>
      <c r="E302" s="2" t="str">
        <f>"20000323"</f>
        <v>20000323</v>
      </c>
      <c r="F302" s="2" t="str">
        <f>"24"</f>
        <v>24</v>
      </c>
      <c r="G302" s="2" t="str">
        <f t="shared" si="52"/>
        <v>E78660</v>
      </c>
      <c r="H302" s="2" t="str">
        <f t="shared" si="53"/>
        <v>가톨릭대학교 서울성모병원</v>
      </c>
      <c r="I302" s="2" t="str">
        <f t="shared" si="57"/>
        <v>특수</v>
      </c>
    </row>
    <row r="303" spans="1:9" x14ac:dyDescent="0.3">
      <c r="A303" s="2" t="str">
        <f t="shared" si="60"/>
        <v>20240711</v>
      </c>
      <c r="B303" s="2" t="str">
        <f>"33466002"</f>
        <v>33466002</v>
      </c>
      <c r="C303" s="2" t="str">
        <f>"이소희"</f>
        <v>이소희</v>
      </c>
      <c r="D303" s="2" t="str">
        <f>"F"</f>
        <v>F</v>
      </c>
      <c r="E303" s="2" t="str">
        <f>"19951006"</f>
        <v>19951006</v>
      </c>
      <c r="F303" s="2" t="str">
        <f>"28"</f>
        <v>28</v>
      </c>
      <c r="G303" s="2" t="str">
        <f t="shared" si="52"/>
        <v>E78660</v>
      </c>
      <c r="H303" s="2" t="str">
        <f t="shared" si="53"/>
        <v>가톨릭대학교 서울성모병원</v>
      </c>
      <c r="I303" s="2" t="str">
        <f t="shared" si="57"/>
        <v>특수</v>
      </c>
    </row>
    <row r="304" spans="1:9" x14ac:dyDescent="0.3">
      <c r="A304" s="2" t="str">
        <f t="shared" si="60"/>
        <v>20240711</v>
      </c>
      <c r="B304" s="2" t="str">
        <f>"33550492"</f>
        <v>33550492</v>
      </c>
      <c r="C304" s="2" t="str">
        <f>"정하은"</f>
        <v>정하은</v>
      </c>
      <c r="D304" s="2" t="str">
        <f>"F"</f>
        <v>F</v>
      </c>
      <c r="E304" s="2" t="str">
        <f>"19970116"</f>
        <v>19970116</v>
      </c>
      <c r="F304" s="2" t="str">
        <f>"27"</f>
        <v>27</v>
      </c>
      <c r="G304" s="2" t="str">
        <f t="shared" si="52"/>
        <v>E78660</v>
      </c>
      <c r="H304" s="2" t="str">
        <f t="shared" si="53"/>
        <v>가톨릭대학교 서울성모병원</v>
      </c>
      <c r="I304" s="2" t="str">
        <f t="shared" si="57"/>
        <v>특수</v>
      </c>
    </row>
    <row r="305" spans="1:9" x14ac:dyDescent="0.3">
      <c r="A305" s="2" t="str">
        <f t="shared" si="60"/>
        <v>20240711</v>
      </c>
      <c r="B305" s="2" t="str">
        <f>"34933861"</f>
        <v>34933861</v>
      </c>
      <c r="C305" s="2" t="str">
        <f>"조승진"</f>
        <v>조승진</v>
      </c>
      <c r="D305" s="2" t="str">
        <f>"M"</f>
        <v>M</v>
      </c>
      <c r="E305" s="2" t="str">
        <f>"19701227"</f>
        <v>19701227</v>
      </c>
      <c r="F305" s="2" t="str">
        <f>"53"</f>
        <v>53</v>
      </c>
      <c r="G305" s="2" t="str">
        <f t="shared" si="52"/>
        <v>E78660</v>
      </c>
      <c r="H305" s="2" t="str">
        <f t="shared" si="53"/>
        <v>가톨릭대학교 서울성모병원</v>
      </c>
      <c r="I305" s="2" t="str">
        <f t="shared" si="57"/>
        <v>특수</v>
      </c>
    </row>
    <row r="306" spans="1:9" x14ac:dyDescent="0.3">
      <c r="A306" s="2" t="str">
        <f t="shared" ref="A306:A312" si="61">"20240715"</f>
        <v>20240715</v>
      </c>
      <c r="B306" s="2" t="str">
        <f>"21067633"</f>
        <v>21067633</v>
      </c>
      <c r="C306" s="2" t="str">
        <f>"최지혜"</f>
        <v>최지혜</v>
      </c>
      <c r="D306" s="2" t="str">
        <f>"F"</f>
        <v>F</v>
      </c>
      <c r="E306" s="2" t="str">
        <f>"19850621"</f>
        <v>19850621</v>
      </c>
      <c r="F306" s="2" t="str">
        <f>"39"</f>
        <v>39</v>
      </c>
      <c r="G306" s="2" t="str">
        <f t="shared" si="52"/>
        <v>E78660</v>
      </c>
      <c r="H306" s="2" t="str">
        <f t="shared" si="53"/>
        <v>가톨릭대학교 서울성모병원</v>
      </c>
      <c r="I306" s="2" t="str">
        <f t="shared" si="57"/>
        <v>특수</v>
      </c>
    </row>
    <row r="307" spans="1:9" x14ac:dyDescent="0.3">
      <c r="A307" s="2" t="str">
        <f t="shared" si="61"/>
        <v>20240715</v>
      </c>
      <c r="B307" s="2" t="str">
        <f>"28189623"</f>
        <v>28189623</v>
      </c>
      <c r="C307" s="2" t="str">
        <f>"강희지"</f>
        <v>강희지</v>
      </c>
      <c r="D307" s="2" t="str">
        <f>"F"</f>
        <v>F</v>
      </c>
      <c r="E307" s="2" t="str">
        <f>"19911125"</f>
        <v>19911125</v>
      </c>
      <c r="F307" s="2" t="str">
        <f>"32"</f>
        <v>32</v>
      </c>
      <c r="G307" s="2" t="str">
        <f t="shared" si="52"/>
        <v>E78660</v>
      </c>
      <c r="H307" s="2" t="str">
        <f t="shared" si="53"/>
        <v>가톨릭대학교 서울성모병원</v>
      </c>
      <c r="I307" s="2" t="str">
        <f t="shared" si="57"/>
        <v>특수</v>
      </c>
    </row>
    <row r="308" spans="1:9" x14ac:dyDescent="0.3">
      <c r="A308" s="2" t="str">
        <f t="shared" si="61"/>
        <v>20240715</v>
      </c>
      <c r="B308" s="2" t="str">
        <f>"29611833"</f>
        <v>29611833</v>
      </c>
      <c r="C308" s="2" t="str">
        <f>"권민오"</f>
        <v>권민오</v>
      </c>
      <c r="D308" s="2" t="str">
        <f>"M"</f>
        <v>M</v>
      </c>
      <c r="E308" s="2" t="str">
        <f>"19911216"</f>
        <v>19911216</v>
      </c>
      <c r="F308" s="2" t="str">
        <f>"32"</f>
        <v>32</v>
      </c>
      <c r="G308" s="2" t="str">
        <f t="shared" si="52"/>
        <v>E78660</v>
      </c>
      <c r="H308" s="2" t="str">
        <f t="shared" si="53"/>
        <v>가톨릭대학교 서울성모병원</v>
      </c>
      <c r="I308" s="2" t="str">
        <f t="shared" si="57"/>
        <v>특수</v>
      </c>
    </row>
    <row r="309" spans="1:9" x14ac:dyDescent="0.3">
      <c r="A309" s="2" t="str">
        <f t="shared" si="61"/>
        <v>20240715</v>
      </c>
      <c r="B309" s="2" t="str">
        <f>"29642306"</f>
        <v>29642306</v>
      </c>
      <c r="C309" s="2" t="str">
        <f>"임정은"</f>
        <v>임정은</v>
      </c>
      <c r="D309" s="2" t="str">
        <f>"F"</f>
        <v>F</v>
      </c>
      <c r="E309" s="2" t="str">
        <f>"19970220"</f>
        <v>19970220</v>
      </c>
      <c r="F309" s="2" t="str">
        <f>"27"</f>
        <v>27</v>
      </c>
      <c r="G309" s="2" t="str">
        <f t="shared" si="52"/>
        <v>E78660</v>
      </c>
      <c r="H309" s="2" t="str">
        <f t="shared" si="53"/>
        <v>가톨릭대학교 서울성모병원</v>
      </c>
      <c r="I309" s="2" t="str">
        <f t="shared" si="57"/>
        <v>특수</v>
      </c>
    </row>
    <row r="310" spans="1:9" x14ac:dyDescent="0.3">
      <c r="A310" s="2" t="str">
        <f t="shared" si="61"/>
        <v>20240715</v>
      </c>
      <c r="B310" s="2" t="str">
        <f>"38034454"</f>
        <v>38034454</v>
      </c>
      <c r="C310" s="2" t="str">
        <f>"김혜민"</f>
        <v>김혜민</v>
      </c>
      <c r="D310" s="2" t="str">
        <f>"F"</f>
        <v>F</v>
      </c>
      <c r="E310" s="2" t="str">
        <f>"19970129"</f>
        <v>19970129</v>
      </c>
      <c r="F310" s="2" t="str">
        <f>"27"</f>
        <v>27</v>
      </c>
      <c r="G310" s="2" t="str">
        <f t="shared" si="52"/>
        <v>E78660</v>
      </c>
      <c r="H310" s="2" t="str">
        <f t="shared" si="53"/>
        <v>가톨릭대학교 서울성모병원</v>
      </c>
      <c r="I310" s="2" t="str">
        <f t="shared" si="57"/>
        <v>특수</v>
      </c>
    </row>
    <row r="311" spans="1:9" x14ac:dyDescent="0.3">
      <c r="A311" s="2" t="str">
        <f t="shared" si="61"/>
        <v>20240715</v>
      </c>
      <c r="B311" s="2" t="str">
        <f>"38149013"</f>
        <v>38149013</v>
      </c>
      <c r="C311" s="2" t="str">
        <f>"전효성"</f>
        <v>전효성</v>
      </c>
      <c r="D311" s="2" t="str">
        <f>"M"</f>
        <v>M</v>
      </c>
      <c r="E311" s="2" t="str">
        <f>"19930103"</f>
        <v>19930103</v>
      </c>
      <c r="F311" s="2" t="str">
        <f>"31"</f>
        <v>31</v>
      </c>
      <c r="G311" s="2" t="str">
        <f t="shared" si="52"/>
        <v>E78660</v>
      </c>
      <c r="H311" s="2" t="str">
        <f t="shared" si="53"/>
        <v>가톨릭대학교 서울성모병원</v>
      </c>
      <c r="I311" s="2" t="str">
        <f t="shared" si="57"/>
        <v>특수</v>
      </c>
    </row>
    <row r="312" spans="1:9" x14ac:dyDescent="0.3">
      <c r="A312" s="2" t="str">
        <f t="shared" si="61"/>
        <v>20240715</v>
      </c>
      <c r="B312" s="2" t="str">
        <f>"38351631"</f>
        <v>38351631</v>
      </c>
      <c r="C312" s="2" t="str">
        <f>"권우석"</f>
        <v>권우석</v>
      </c>
      <c r="D312" s="2" t="str">
        <f>"M"</f>
        <v>M</v>
      </c>
      <c r="E312" s="2" t="str">
        <f>"19940627"</f>
        <v>19940627</v>
      </c>
      <c r="F312" s="2" t="str">
        <f>"30"</f>
        <v>30</v>
      </c>
      <c r="G312" s="2" t="str">
        <f t="shared" si="52"/>
        <v>E78660</v>
      </c>
      <c r="H312" s="2" t="str">
        <f t="shared" si="53"/>
        <v>가톨릭대학교 서울성모병원</v>
      </c>
      <c r="I312" s="2" t="str">
        <f t="shared" si="57"/>
        <v>특수</v>
      </c>
    </row>
    <row r="313" spans="1:9" x14ac:dyDescent="0.3">
      <c r="A313" s="2" t="str">
        <f>"20240716"</f>
        <v>20240716</v>
      </c>
      <c r="B313" s="2" t="str">
        <f>"36152430"</f>
        <v>36152430</v>
      </c>
      <c r="C313" s="2" t="str">
        <f>"배민영"</f>
        <v>배민영</v>
      </c>
      <c r="D313" s="2" t="str">
        <f>"F"</f>
        <v>F</v>
      </c>
      <c r="E313" s="2" t="str">
        <f>"19970705"</f>
        <v>19970705</v>
      </c>
      <c r="F313" s="2" t="str">
        <f>"27"</f>
        <v>27</v>
      </c>
      <c r="G313" s="2" t="str">
        <f t="shared" si="52"/>
        <v>E78660</v>
      </c>
      <c r="H313" s="2" t="str">
        <f t="shared" si="53"/>
        <v>가톨릭대학교 서울성모병원</v>
      </c>
      <c r="I313" s="2" t="str">
        <f t="shared" si="57"/>
        <v>특수</v>
      </c>
    </row>
    <row r="314" spans="1:9" x14ac:dyDescent="0.3">
      <c r="A314" s="2" t="str">
        <f>"20240716"</f>
        <v>20240716</v>
      </c>
      <c r="B314" s="2" t="str">
        <f>"39231805"</f>
        <v>39231805</v>
      </c>
      <c r="C314" s="2" t="str">
        <f>"박소영"</f>
        <v>박소영</v>
      </c>
      <c r="D314" s="2" t="str">
        <f>"F"</f>
        <v>F</v>
      </c>
      <c r="E314" s="2" t="str">
        <f>"20000213"</f>
        <v>20000213</v>
      </c>
      <c r="F314" s="2" t="str">
        <f>"24"</f>
        <v>24</v>
      </c>
      <c r="G314" s="2" t="str">
        <f t="shared" si="52"/>
        <v>E78660</v>
      </c>
      <c r="H314" s="2" t="str">
        <f t="shared" si="53"/>
        <v>가톨릭대학교 서울성모병원</v>
      </c>
      <c r="I314" s="2" t="str">
        <f>"배치후"</f>
        <v>배치후</v>
      </c>
    </row>
    <row r="315" spans="1:9" x14ac:dyDescent="0.3">
      <c r="A315" s="2" t="str">
        <f>"20240716"</f>
        <v>20240716</v>
      </c>
      <c r="B315" s="2" t="str">
        <f>"39378781"</f>
        <v>39378781</v>
      </c>
      <c r="C315" s="2" t="str">
        <f>"박수옥"</f>
        <v>박수옥</v>
      </c>
      <c r="D315" s="2" t="str">
        <f>"F"</f>
        <v>F</v>
      </c>
      <c r="E315" s="2" t="str">
        <f>"19690814"</f>
        <v>19690814</v>
      </c>
      <c r="F315" s="2" t="str">
        <f>"54"</f>
        <v>54</v>
      </c>
      <c r="G315" s="2" t="str">
        <f t="shared" si="52"/>
        <v>E78660</v>
      </c>
      <c r="H315" s="2" t="str">
        <f t="shared" si="53"/>
        <v>가톨릭대학교 서울성모병원</v>
      </c>
      <c r="I315" s="2" t="str">
        <f>"배치후"</f>
        <v>배치후</v>
      </c>
    </row>
    <row r="316" spans="1:9" x14ac:dyDescent="0.3">
      <c r="A316" s="2" t="str">
        <f>"20240716"</f>
        <v>20240716</v>
      </c>
      <c r="B316" s="2" t="str">
        <f>"8634652"</f>
        <v>8634652</v>
      </c>
      <c r="C316" s="2" t="str">
        <f>"김현수"</f>
        <v>김현수</v>
      </c>
      <c r="D316" s="2" t="str">
        <f>"F"</f>
        <v>F</v>
      </c>
      <c r="E316" s="2" t="str">
        <f>"19931221"</f>
        <v>19931221</v>
      </c>
      <c r="F316" s="2" t="str">
        <f>"30"</f>
        <v>30</v>
      </c>
      <c r="G316" s="2" t="str">
        <f t="shared" si="52"/>
        <v>E78660</v>
      </c>
      <c r="H316" s="2" t="str">
        <f t="shared" si="53"/>
        <v>가톨릭대학교 서울성모병원</v>
      </c>
      <c r="I316" s="2" t="str">
        <f>"배치전"</f>
        <v>배치전</v>
      </c>
    </row>
    <row r="317" spans="1:9" x14ac:dyDescent="0.3">
      <c r="A317" s="2" t="str">
        <f t="shared" ref="A317:A325" si="62">"20240717"</f>
        <v>20240717</v>
      </c>
      <c r="B317" s="2" t="str">
        <f>"18818840"</f>
        <v>18818840</v>
      </c>
      <c r="C317" s="2" t="str">
        <f>"유영진"</f>
        <v>유영진</v>
      </c>
      <c r="D317" s="2" t="str">
        <f>"M"</f>
        <v>M</v>
      </c>
      <c r="E317" s="2" t="str">
        <f>"19801226"</f>
        <v>19801226</v>
      </c>
      <c r="F317" s="2" t="str">
        <f>"43"</f>
        <v>43</v>
      </c>
      <c r="G317" s="2" t="str">
        <f t="shared" si="52"/>
        <v>E78660</v>
      </c>
      <c r="H317" s="2" t="str">
        <f t="shared" si="53"/>
        <v>가톨릭대학교 서울성모병원</v>
      </c>
      <c r="I317" s="2" t="str">
        <f>"특수"</f>
        <v>특수</v>
      </c>
    </row>
    <row r="318" spans="1:9" x14ac:dyDescent="0.3">
      <c r="A318" s="2" t="str">
        <f t="shared" si="62"/>
        <v>20240717</v>
      </c>
      <c r="B318" s="2" t="str">
        <f>"21048901"</f>
        <v>21048901</v>
      </c>
      <c r="C318" s="2" t="str">
        <f>"장명선"</f>
        <v>장명선</v>
      </c>
      <c r="D318" s="2" t="str">
        <f t="shared" ref="D318:D323" si="63">"F"</f>
        <v>F</v>
      </c>
      <c r="E318" s="2" t="str">
        <f>"19901113"</f>
        <v>19901113</v>
      </c>
      <c r="F318" s="2" t="str">
        <f>"33"</f>
        <v>33</v>
      </c>
      <c r="G318" s="2" t="str">
        <f t="shared" si="52"/>
        <v>E78660</v>
      </c>
      <c r="H318" s="2" t="str">
        <f t="shared" si="53"/>
        <v>가톨릭대학교 서울성모병원</v>
      </c>
      <c r="I318" s="2" t="str">
        <f>"배치후"</f>
        <v>배치후</v>
      </c>
    </row>
    <row r="319" spans="1:9" x14ac:dyDescent="0.3">
      <c r="A319" s="2" t="str">
        <f t="shared" si="62"/>
        <v>20240717</v>
      </c>
      <c r="B319" s="2" t="str">
        <f>"21497290"</f>
        <v>21497290</v>
      </c>
      <c r="C319" s="2" t="str">
        <f>"이경남"</f>
        <v>이경남</v>
      </c>
      <c r="D319" s="2" t="str">
        <f t="shared" si="63"/>
        <v>F</v>
      </c>
      <c r="E319" s="2" t="str">
        <f>"19870131"</f>
        <v>19870131</v>
      </c>
      <c r="F319" s="2" t="str">
        <f>"37"</f>
        <v>37</v>
      </c>
      <c r="G319" s="2" t="str">
        <f t="shared" si="52"/>
        <v>E78660</v>
      </c>
      <c r="H319" s="2" t="str">
        <f t="shared" si="53"/>
        <v>가톨릭대학교 서울성모병원</v>
      </c>
      <c r="I319" s="2" t="str">
        <f>"특수"</f>
        <v>특수</v>
      </c>
    </row>
    <row r="320" spans="1:9" x14ac:dyDescent="0.3">
      <c r="A320" s="2" t="str">
        <f t="shared" si="62"/>
        <v>20240717</v>
      </c>
      <c r="B320" s="2" t="str">
        <f>"21514254"</f>
        <v>21514254</v>
      </c>
      <c r="C320" s="2" t="str">
        <f>"장미진"</f>
        <v>장미진</v>
      </c>
      <c r="D320" s="2" t="str">
        <f t="shared" si="63"/>
        <v>F</v>
      </c>
      <c r="E320" s="2" t="str">
        <f>"19860601"</f>
        <v>19860601</v>
      </c>
      <c r="F320" s="2" t="str">
        <f>"38"</f>
        <v>38</v>
      </c>
      <c r="G320" s="2" t="str">
        <f t="shared" si="52"/>
        <v>E78660</v>
      </c>
      <c r="H320" s="2" t="str">
        <f t="shared" si="53"/>
        <v>가톨릭대학교 서울성모병원</v>
      </c>
      <c r="I320" s="2" t="str">
        <f>"배치후"</f>
        <v>배치후</v>
      </c>
    </row>
    <row r="321" spans="1:9" x14ac:dyDescent="0.3">
      <c r="A321" s="2" t="str">
        <f t="shared" si="62"/>
        <v>20240717</v>
      </c>
      <c r="B321" s="2" t="str">
        <f>"35717242"</f>
        <v>35717242</v>
      </c>
      <c r="C321" s="2" t="str">
        <f>"정세리"</f>
        <v>정세리</v>
      </c>
      <c r="D321" s="2" t="str">
        <f t="shared" si="63"/>
        <v>F</v>
      </c>
      <c r="E321" s="2" t="str">
        <f>"19900625"</f>
        <v>19900625</v>
      </c>
      <c r="F321" s="2" t="str">
        <f>"34"</f>
        <v>34</v>
      </c>
      <c r="G321" s="2" t="str">
        <f t="shared" si="52"/>
        <v>E78660</v>
      </c>
      <c r="H321" s="2" t="str">
        <f t="shared" si="53"/>
        <v>가톨릭대학교 서울성모병원</v>
      </c>
      <c r="I321" s="2" t="str">
        <f t="shared" ref="I321:I335" si="64">"특수"</f>
        <v>특수</v>
      </c>
    </row>
    <row r="322" spans="1:9" x14ac:dyDescent="0.3">
      <c r="A322" s="2" t="str">
        <f t="shared" si="62"/>
        <v>20240717</v>
      </c>
      <c r="B322" s="2" t="str">
        <f>"38351562"</f>
        <v>38351562</v>
      </c>
      <c r="C322" s="2" t="str">
        <f>"김민주"</f>
        <v>김민주</v>
      </c>
      <c r="D322" s="2" t="str">
        <f t="shared" si="63"/>
        <v>F</v>
      </c>
      <c r="E322" s="2" t="str">
        <f>"19950903"</f>
        <v>19950903</v>
      </c>
      <c r="F322" s="2" t="str">
        <f>"28"</f>
        <v>28</v>
      </c>
      <c r="G322" s="2" t="str">
        <f t="shared" ref="G322:G385" si="65">"E78660"</f>
        <v>E78660</v>
      </c>
      <c r="H322" s="2" t="str">
        <f t="shared" ref="H322:H385" si="66">"가톨릭대학교 서울성모병원"</f>
        <v>가톨릭대학교 서울성모병원</v>
      </c>
      <c r="I322" s="2" t="str">
        <f t="shared" si="64"/>
        <v>특수</v>
      </c>
    </row>
    <row r="323" spans="1:9" x14ac:dyDescent="0.3">
      <c r="A323" s="2" t="str">
        <f t="shared" si="62"/>
        <v>20240717</v>
      </c>
      <c r="B323" s="2" t="str">
        <f>"38353513"</f>
        <v>38353513</v>
      </c>
      <c r="C323" s="2" t="str">
        <f>"김경윤"</f>
        <v>김경윤</v>
      </c>
      <c r="D323" s="2" t="str">
        <f t="shared" si="63"/>
        <v>F</v>
      </c>
      <c r="E323" s="2" t="str">
        <f>"19970125"</f>
        <v>19970125</v>
      </c>
      <c r="F323" s="2" t="str">
        <f>"27"</f>
        <v>27</v>
      </c>
      <c r="G323" s="2" t="str">
        <f t="shared" si="65"/>
        <v>E78660</v>
      </c>
      <c r="H323" s="2" t="str">
        <f t="shared" si="66"/>
        <v>가톨릭대학교 서울성모병원</v>
      </c>
      <c r="I323" s="2" t="str">
        <f t="shared" si="64"/>
        <v>특수</v>
      </c>
    </row>
    <row r="324" spans="1:9" x14ac:dyDescent="0.3">
      <c r="A324" s="2" t="str">
        <f t="shared" si="62"/>
        <v>20240717</v>
      </c>
      <c r="B324" s="2" t="str">
        <f>"39356142"</f>
        <v>39356142</v>
      </c>
      <c r="C324" s="2" t="str">
        <f>"황기훈"</f>
        <v>황기훈</v>
      </c>
      <c r="D324" s="2" t="str">
        <f>"M"</f>
        <v>M</v>
      </c>
      <c r="E324" s="2" t="str">
        <f>"19901126"</f>
        <v>19901126</v>
      </c>
      <c r="F324" s="2" t="str">
        <f>"33"</f>
        <v>33</v>
      </c>
      <c r="G324" s="2" t="str">
        <f t="shared" si="65"/>
        <v>E78660</v>
      </c>
      <c r="H324" s="2" t="str">
        <f t="shared" si="66"/>
        <v>가톨릭대학교 서울성모병원</v>
      </c>
      <c r="I324" s="2" t="str">
        <f t="shared" si="64"/>
        <v>특수</v>
      </c>
    </row>
    <row r="325" spans="1:9" x14ac:dyDescent="0.3">
      <c r="A325" s="2" t="str">
        <f t="shared" si="62"/>
        <v>20240717</v>
      </c>
      <c r="B325" s="2" t="str">
        <f>"6583910"</f>
        <v>6583910</v>
      </c>
      <c r="C325" s="2" t="str">
        <f>"박성숙"</f>
        <v>박성숙</v>
      </c>
      <c r="D325" s="2" t="str">
        <f t="shared" ref="D325:D330" si="67">"F"</f>
        <v>F</v>
      </c>
      <c r="E325" s="2" t="str">
        <f>"19691028"</f>
        <v>19691028</v>
      </c>
      <c r="F325" s="2" t="str">
        <f>"54"</f>
        <v>54</v>
      </c>
      <c r="G325" s="2" t="str">
        <f t="shared" si="65"/>
        <v>E78660</v>
      </c>
      <c r="H325" s="2" t="str">
        <f t="shared" si="66"/>
        <v>가톨릭대학교 서울성모병원</v>
      </c>
      <c r="I325" s="2" t="str">
        <f t="shared" si="64"/>
        <v>특수</v>
      </c>
    </row>
    <row r="326" spans="1:9" x14ac:dyDescent="0.3">
      <c r="A326" s="2" t="str">
        <f>"20240718"</f>
        <v>20240718</v>
      </c>
      <c r="B326" s="2" t="str">
        <f>"15879207"</f>
        <v>15879207</v>
      </c>
      <c r="C326" s="2" t="str">
        <f>"안소현"</f>
        <v>안소현</v>
      </c>
      <c r="D326" s="2" t="str">
        <f t="shared" si="67"/>
        <v>F</v>
      </c>
      <c r="E326" s="2" t="str">
        <f>"19850525"</f>
        <v>19850525</v>
      </c>
      <c r="F326" s="2" t="str">
        <f>"39"</f>
        <v>39</v>
      </c>
      <c r="G326" s="2" t="str">
        <f t="shared" si="65"/>
        <v>E78660</v>
      </c>
      <c r="H326" s="2" t="str">
        <f t="shared" si="66"/>
        <v>가톨릭대학교 서울성모병원</v>
      </c>
      <c r="I326" s="2" t="str">
        <f t="shared" si="64"/>
        <v>특수</v>
      </c>
    </row>
    <row r="327" spans="1:9" x14ac:dyDescent="0.3">
      <c r="A327" s="2" t="str">
        <f>"20240718"</f>
        <v>20240718</v>
      </c>
      <c r="B327" s="2" t="str">
        <f>"29315921"</f>
        <v>29315921</v>
      </c>
      <c r="C327" s="2" t="str">
        <f>"박슬기"</f>
        <v>박슬기</v>
      </c>
      <c r="D327" s="2" t="str">
        <f t="shared" si="67"/>
        <v>F</v>
      </c>
      <c r="E327" s="2" t="str">
        <f>"19910304"</f>
        <v>19910304</v>
      </c>
      <c r="F327" s="2" t="str">
        <f>"33"</f>
        <v>33</v>
      </c>
      <c r="G327" s="2" t="str">
        <f t="shared" si="65"/>
        <v>E78660</v>
      </c>
      <c r="H327" s="2" t="str">
        <f t="shared" si="66"/>
        <v>가톨릭대학교 서울성모병원</v>
      </c>
      <c r="I327" s="2" t="str">
        <f t="shared" si="64"/>
        <v>특수</v>
      </c>
    </row>
    <row r="328" spans="1:9" x14ac:dyDescent="0.3">
      <c r="A328" s="2" t="str">
        <f>"20240718"</f>
        <v>20240718</v>
      </c>
      <c r="B328" s="2" t="str">
        <f>"29641793"</f>
        <v>29641793</v>
      </c>
      <c r="C328" s="2" t="str">
        <f>"서효경"</f>
        <v>서효경</v>
      </c>
      <c r="D328" s="2" t="str">
        <f t="shared" si="67"/>
        <v>F</v>
      </c>
      <c r="E328" s="2" t="str">
        <f>"19960110"</f>
        <v>19960110</v>
      </c>
      <c r="F328" s="2" t="str">
        <f>"28"</f>
        <v>28</v>
      </c>
      <c r="G328" s="2" t="str">
        <f t="shared" si="65"/>
        <v>E78660</v>
      </c>
      <c r="H328" s="2" t="str">
        <f t="shared" si="66"/>
        <v>가톨릭대학교 서울성모병원</v>
      </c>
      <c r="I328" s="2" t="str">
        <f t="shared" si="64"/>
        <v>특수</v>
      </c>
    </row>
    <row r="329" spans="1:9" x14ac:dyDescent="0.3">
      <c r="A329" s="2" t="str">
        <f>"20240718"</f>
        <v>20240718</v>
      </c>
      <c r="B329" s="2" t="str">
        <f>"38312312"</f>
        <v>38312312</v>
      </c>
      <c r="C329" s="2" t="str">
        <f>"김지인"</f>
        <v>김지인</v>
      </c>
      <c r="D329" s="2" t="str">
        <f t="shared" si="67"/>
        <v>F</v>
      </c>
      <c r="E329" s="2" t="str">
        <f>"20000415"</f>
        <v>20000415</v>
      </c>
      <c r="F329" s="2" t="str">
        <f>"24"</f>
        <v>24</v>
      </c>
      <c r="G329" s="2" t="str">
        <f t="shared" si="65"/>
        <v>E78660</v>
      </c>
      <c r="H329" s="2" t="str">
        <f t="shared" si="66"/>
        <v>가톨릭대학교 서울성모병원</v>
      </c>
      <c r="I329" s="2" t="str">
        <f t="shared" si="64"/>
        <v>특수</v>
      </c>
    </row>
    <row r="330" spans="1:9" x14ac:dyDescent="0.3">
      <c r="A330" s="2" t="str">
        <f t="shared" ref="A330:A338" si="68">"20240722"</f>
        <v>20240722</v>
      </c>
      <c r="B330" s="2" t="str">
        <f>"15226149"</f>
        <v>15226149</v>
      </c>
      <c r="C330" s="2" t="str">
        <f>"구애경"</f>
        <v>구애경</v>
      </c>
      <c r="D330" s="2" t="str">
        <f t="shared" si="67"/>
        <v>F</v>
      </c>
      <c r="E330" s="2" t="str">
        <f>"19790506"</f>
        <v>19790506</v>
      </c>
      <c r="F330" s="2" t="str">
        <f>"45"</f>
        <v>45</v>
      </c>
      <c r="G330" s="2" t="str">
        <f t="shared" si="65"/>
        <v>E78660</v>
      </c>
      <c r="H330" s="2" t="str">
        <f t="shared" si="66"/>
        <v>가톨릭대학교 서울성모병원</v>
      </c>
      <c r="I330" s="2" t="str">
        <f t="shared" si="64"/>
        <v>특수</v>
      </c>
    </row>
    <row r="331" spans="1:9" x14ac:dyDescent="0.3">
      <c r="A331" s="2" t="str">
        <f t="shared" si="68"/>
        <v>20240722</v>
      </c>
      <c r="B331" s="2" t="str">
        <f>"15712697"</f>
        <v>15712697</v>
      </c>
      <c r="C331" s="2" t="str">
        <f>"이의식"</f>
        <v>이의식</v>
      </c>
      <c r="D331" s="2" t="str">
        <f>"M"</f>
        <v>M</v>
      </c>
      <c r="E331" s="2" t="str">
        <f>"19771007"</f>
        <v>19771007</v>
      </c>
      <c r="F331" s="2" t="str">
        <f>"46"</f>
        <v>46</v>
      </c>
      <c r="G331" s="2" t="str">
        <f t="shared" si="65"/>
        <v>E78660</v>
      </c>
      <c r="H331" s="2" t="str">
        <f t="shared" si="66"/>
        <v>가톨릭대학교 서울성모병원</v>
      </c>
      <c r="I331" s="2" t="str">
        <f t="shared" si="64"/>
        <v>특수</v>
      </c>
    </row>
    <row r="332" spans="1:9" x14ac:dyDescent="0.3">
      <c r="A332" s="2" t="str">
        <f t="shared" si="68"/>
        <v>20240722</v>
      </c>
      <c r="B332" s="2" t="str">
        <f>"18679818"</f>
        <v>18679818</v>
      </c>
      <c r="C332" s="2" t="str">
        <f>"히라타수미코"</f>
        <v>히라타수미코</v>
      </c>
      <c r="D332" s="2" t="str">
        <f>"F"</f>
        <v>F</v>
      </c>
      <c r="E332" s="2" t="str">
        <f>"19650916"</f>
        <v>19650916</v>
      </c>
      <c r="F332" s="2" t="str">
        <f>"58"</f>
        <v>58</v>
      </c>
      <c r="G332" s="2" t="str">
        <f t="shared" si="65"/>
        <v>E78660</v>
      </c>
      <c r="H332" s="2" t="str">
        <f t="shared" si="66"/>
        <v>가톨릭대학교 서울성모병원</v>
      </c>
      <c r="I332" s="2" t="str">
        <f t="shared" si="64"/>
        <v>특수</v>
      </c>
    </row>
    <row r="333" spans="1:9" x14ac:dyDescent="0.3">
      <c r="A333" s="2" t="str">
        <f t="shared" si="68"/>
        <v>20240722</v>
      </c>
      <c r="B333" s="2" t="str">
        <f>"31293973"</f>
        <v>31293973</v>
      </c>
      <c r="C333" s="2" t="str">
        <f>"김세영"</f>
        <v>김세영</v>
      </c>
      <c r="D333" s="2" t="str">
        <f>"F"</f>
        <v>F</v>
      </c>
      <c r="E333" s="2" t="str">
        <f>"19940924"</f>
        <v>19940924</v>
      </c>
      <c r="F333" s="2" t="str">
        <f>"29"</f>
        <v>29</v>
      </c>
      <c r="G333" s="2" t="str">
        <f t="shared" si="65"/>
        <v>E78660</v>
      </c>
      <c r="H333" s="2" t="str">
        <f t="shared" si="66"/>
        <v>가톨릭대학교 서울성모병원</v>
      </c>
      <c r="I333" s="2" t="str">
        <f t="shared" si="64"/>
        <v>특수</v>
      </c>
    </row>
    <row r="334" spans="1:9" x14ac:dyDescent="0.3">
      <c r="A334" s="2" t="str">
        <f t="shared" si="68"/>
        <v>20240722</v>
      </c>
      <c r="B334" s="2" t="str">
        <f>"31400071"</f>
        <v>31400071</v>
      </c>
      <c r="C334" s="2" t="str">
        <f>"안승혁"</f>
        <v>안승혁</v>
      </c>
      <c r="D334" s="2" t="str">
        <f>"M"</f>
        <v>M</v>
      </c>
      <c r="E334" s="2" t="str">
        <f>"19911022"</f>
        <v>19911022</v>
      </c>
      <c r="F334" s="2" t="str">
        <f>"32"</f>
        <v>32</v>
      </c>
      <c r="G334" s="2" t="str">
        <f t="shared" si="65"/>
        <v>E78660</v>
      </c>
      <c r="H334" s="2" t="str">
        <f t="shared" si="66"/>
        <v>가톨릭대학교 서울성모병원</v>
      </c>
      <c r="I334" s="2" t="str">
        <f t="shared" si="64"/>
        <v>특수</v>
      </c>
    </row>
    <row r="335" spans="1:9" x14ac:dyDescent="0.3">
      <c r="A335" s="2" t="str">
        <f t="shared" si="68"/>
        <v>20240722</v>
      </c>
      <c r="B335" s="2" t="str">
        <f>"35213273"</f>
        <v>35213273</v>
      </c>
      <c r="C335" s="2" t="str">
        <f>"최윤영"</f>
        <v>최윤영</v>
      </c>
      <c r="D335" s="2" t="str">
        <f>"F"</f>
        <v>F</v>
      </c>
      <c r="E335" s="2" t="str">
        <f>"19960829"</f>
        <v>19960829</v>
      </c>
      <c r="F335" s="2" t="str">
        <f>"27"</f>
        <v>27</v>
      </c>
      <c r="G335" s="2" t="str">
        <f t="shared" si="65"/>
        <v>E78660</v>
      </c>
      <c r="H335" s="2" t="str">
        <f t="shared" si="66"/>
        <v>가톨릭대학교 서울성모병원</v>
      </c>
      <c r="I335" s="2" t="str">
        <f t="shared" si="64"/>
        <v>특수</v>
      </c>
    </row>
    <row r="336" spans="1:9" x14ac:dyDescent="0.3">
      <c r="A336" s="2" t="str">
        <f t="shared" si="68"/>
        <v>20240722</v>
      </c>
      <c r="B336" s="2" t="str">
        <f>"35624024"</f>
        <v>35624024</v>
      </c>
      <c r="C336" s="2" t="str">
        <f>"정지훈"</f>
        <v>정지훈</v>
      </c>
      <c r="D336" s="2" t="str">
        <f>"M"</f>
        <v>M</v>
      </c>
      <c r="E336" s="2" t="str">
        <f>"19920305"</f>
        <v>19920305</v>
      </c>
      <c r="F336" s="2" t="str">
        <f>"32"</f>
        <v>32</v>
      </c>
      <c r="G336" s="2" t="str">
        <f t="shared" si="65"/>
        <v>E78660</v>
      </c>
      <c r="H336" s="2" t="str">
        <f t="shared" si="66"/>
        <v>가톨릭대학교 서울성모병원</v>
      </c>
      <c r="I336" s="2" t="str">
        <f>"배치후"</f>
        <v>배치후</v>
      </c>
    </row>
    <row r="337" spans="1:9" x14ac:dyDescent="0.3">
      <c r="A337" s="2" t="str">
        <f t="shared" si="68"/>
        <v>20240722</v>
      </c>
      <c r="B337" s="2" t="str">
        <f>"38020136"</f>
        <v>38020136</v>
      </c>
      <c r="C337" s="2" t="str">
        <f>"이고은"</f>
        <v>이고은</v>
      </c>
      <c r="D337" s="2" t="str">
        <f>"F"</f>
        <v>F</v>
      </c>
      <c r="E337" s="2" t="str">
        <f>"19970324"</f>
        <v>19970324</v>
      </c>
      <c r="F337" s="2" t="str">
        <f>"27"</f>
        <v>27</v>
      </c>
      <c r="G337" s="2" t="str">
        <f t="shared" si="65"/>
        <v>E78660</v>
      </c>
      <c r="H337" s="2" t="str">
        <f t="shared" si="66"/>
        <v>가톨릭대학교 서울성모병원</v>
      </c>
      <c r="I337" s="2" t="str">
        <f>"특수"</f>
        <v>특수</v>
      </c>
    </row>
    <row r="338" spans="1:9" x14ac:dyDescent="0.3">
      <c r="A338" s="2" t="str">
        <f t="shared" si="68"/>
        <v>20240722</v>
      </c>
      <c r="B338" s="2" t="str">
        <f>"38351620"</f>
        <v>38351620</v>
      </c>
      <c r="C338" s="2" t="str">
        <f>"이희라"</f>
        <v>이희라</v>
      </c>
      <c r="D338" s="2" t="str">
        <f>"F"</f>
        <v>F</v>
      </c>
      <c r="E338" s="2" t="str">
        <f>"19970307"</f>
        <v>19970307</v>
      </c>
      <c r="F338" s="2" t="str">
        <f>"27"</f>
        <v>27</v>
      </c>
      <c r="G338" s="2" t="str">
        <f t="shared" si="65"/>
        <v>E78660</v>
      </c>
      <c r="H338" s="2" t="str">
        <f t="shared" si="66"/>
        <v>가톨릭대학교 서울성모병원</v>
      </c>
      <c r="I338" s="2" t="str">
        <f>"특수"</f>
        <v>특수</v>
      </c>
    </row>
    <row r="339" spans="1:9" x14ac:dyDescent="0.3">
      <c r="A339" s="2" t="str">
        <f>"20240723"</f>
        <v>20240723</v>
      </c>
      <c r="B339" s="2" t="str">
        <f>"26005123"</f>
        <v>26005123</v>
      </c>
      <c r="C339" s="2" t="str">
        <f>"김자혜"</f>
        <v>김자혜</v>
      </c>
      <c r="D339" s="2" t="str">
        <f>"F"</f>
        <v>F</v>
      </c>
      <c r="E339" s="2" t="str">
        <f>"19870805"</f>
        <v>19870805</v>
      </c>
      <c r="F339" s="2" t="str">
        <f>"36"</f>
        <v>36</v>
      </c>
      <c r="G339" s="2" t="str">
        <f t="shared" si="65"/>
        <v>E78660</v>
      </c>
      <c r="H339" s="2" t="str">
        <f t="shared" si="66"/>
        <v>가톨릭대학교 서울성모병원</v>
      </c>
      <c r="I339" s="2" t="str">
        <f>"특수"</f>
        <v>특수</v>
      </c>
    </row>
    <row r="340" spans="1:9" x14ac:dyDescent="0.3">
      <c r="A340" s="2" t="str">
        <f>"20240723"</f>
        <v>20240723</v>
      </c>
      <c r="B340" s="2" t="str">
        <f>"39480323"</f>
        <v>39480323</v>
      </c>
      <c r="C340" s="2" t="str">
        <f>"이가은"</f>
        <v>이가은</v>
      </c>
      <c r="D340" s="2" t="str">
        <f>"F"</f>
        <v>F</v>
      </c>
      <c r="E340" s="2" t="str">
        <f>"19950305"</f>
        <v>19950305</v>
      </c>
      <c r="F340" s="2" t="str">
        <f>"29"</f>
        <v>29</v>
      </c>
      <c r="G340" s="2" t="str">
        <f t="shared" si="65"/>
        <v>E78660</v>
      </c>
      <c r="H340" s="2" t="str">
        <f t="shared" si="66"/>
        <v>가톨릭대학교 서울성모병원</v>
      </c>
      <c r="I340" s="2" t="str">
        <f>"배치후"</f>
        <v>배치후</v>
      </c>
    </row>
    <row r="341" spans="1:9" x14ac:dyDescent="0.3">
      <c r="A341" s="2" t="str">
        <f>"20240723"</f>
        <v>20240723</v>
      </c>
      <c r="B341" s="2" t="str">
        <f>"9047358"</f>
        <v>9047358</v>
      </c>
      <c r="C341" s="2" t="str">
        <f>"차명수"</f>
        <v>차명수</v>
      </c>
      <c r="D341" s="2" t="str">
        <f>"M"</f>
        <v>M</v>
      </c>
      <c r="E341" s="2" t="str">
        <f>"19690901"</f>
        <v>19690901</v>
      </c>
      <c r="F341" s="2" t="str">
        <f>"54"</f>
        <v>54</v>
      </c>
      <c r="G341" s="2" t="str">
        <f t="shared" si="65"/>
        <v>E78660</v>
      </c>
      <c r="H341" s="2" t="str">
        <f t="shared" si="66"/>
        <v>가톨릭대학교 서울성모병원</v>
      </c>
      <c r="I341" s="2" t="str">
        <f>"배치전"</f>
        <v>배치전</v>
      </c>
    </row>
    <row r="342" spans="1:9" x14ac:dyDescent="0.3">
      <c r="A342" s="2" t="str">
        <f t="shared" ref="A342:A356" si="69">"20240724"</f>
        <v>20240724</v>
      </c>
      <c r="B342" s="2" t="str">
        <f>"11265505"</f>
        <v>11265505</v>
      </c>
      <c r="C342" s="2" t="str">
        <f>"안혜림"</f>
        <v>안혜림</v>
      </c>
      <c r="D342" s="2" t="str">
        <f>"F"</f>
        <v>F</v>
      </c>
      <c r="E342" s="2" t="str">
        <f>"19751113"</f>
        <v>19751113</v>
      </c>
      <c r="F342" s="2" t="str">
        <f>"48"</f>
        <v>48</v>
      </c>
      <c r="G342" s="2" t="str">
        <f t="shared" si="65"/>
        <v>E78660</v>
      </c>
      <c r="H342" s="2" t="str">
        <f t="shared" si="66"/>
        <v>가톨릭대학교 서울성모병원</v>
      </c>
      <c r="I342" s="2" t="str">
        <f t="shared" ref="I342:I351" si="70">"특수"</f>
        <v>특수</v>
      </c>
    </row>
    <row r="343" spans="1:9" x14ac:dyDescent="0.3">
      <c r="A343" s="2" t="str">
        <f t="shared" si="69"/>
        <v>20240724</v>
      </c>
      <c r="B343" s="2" t="str">
        <f>"23915936"</f>
        <v>23915936</v>
      </c>
      <c r="C343" s="2" t="str">
        <f>"신재우"</f>
        <v>신재우</v>
      </c>
      <c r="D343" s="2" t="str">
        <f>"M"</f>
        <v>M</v>
      </c>
      <c r="E343" s="2" t="str">
        <f>"19710306"</f>
        <v>19710306</v>
      </c>
      <c r="F343" s="2" t="str">
        <f>"53"</f>
        <v>53</v>
      </c>
      <c r="G343" s="2" t="str">
        <f t="shared" si="65"/>
        <v>E78660</v>
      </c>
      <c r="H343" s="2" t="str">
        <f t="shared" si="66"/>
        <v>가톨릭대학교 서울성모병원</v>
      </c>
      <c r="I343" s="2" t="str">
        <f t="shared" si="70"/>
        <v>특수</v>
      </c>
    </row>
    <row r="344" spans="1:9" x14ac:dyDescent="0.3">
      <c r="A344" s="2" t="str">
        <f t="shared" si="69"/>
        <v>20240724</v>
      </c>
      <c r="B344" s="2" t="str">
        <f>"28641725"</f>
        <v>28641725</v>
      </c>
      <c r="C344" s="2" t="str">
        <f>"차진영"</f>
        <v>차진영</v>
      </c>
      <c r="D344" s="2" t="str">
        <f>"M"</f>
        <v>M</v>
      </c>
      <c r="E344" s="2" t="str">
        <f>"19781227"</f>
        <v>19781227</v>
      </c>
      <c r="F344" s="2" t="str">
        <f>"45"</f>
        <v>45</v>
      </c>
      <c r="G344" s="2" t="str">
        <f t="shared" si="65"/>
        <v>E78660</v>
      </c>
      <c r="H344" s="2" t="str">
        <f t="shared" si="66"/>
        <v>가톨릭대학교 서울성모병원</v>
      </c>
      <c r="I344" s="2" t="str">
        <f t="shared" si="70"/>
        <v>특수</v>
      </c>
    </row>
    <row r="345" spans="1:9" x14ac:dyDescent="0.3">
      <c r="A345" s="2" t="str">
        <f t="shared" si="69"/>
        <v>20240724</v>
      </c>
      <c r="B345" s="2" t="str">
        <f>"33465914"</f>
        <v>33465914</v>
      </c>
      <c r="C345" s="2" t="str">
        <f>"최다예"</f>
        <v>최다예</v>
      </c>
      <c r="D345" s="2" t="str">
        <f>"F"</f>
        <v>F</v>
      </c>
      <c r="E345" s="2" t="str">
        <f>"19960425"</f>
        <v>19960425</v>
      </c>
      <c r="F345" s="2" t="str">
        <f>"28"</f>
        <v>28</v>
      </c>
      <c r="G345" s="2" t="str">
        <f t="shared" si="65"/>
        <v>E78660</v>
      </c>
      <c r="H345" s="2" t="str">
        <f t="shared" si="66"/>
        <v>가톨릭대학교 서울성모병원</v>
      </c>
      <c r="I345" s="2" t="str">
        <f t="shared" si="70"/>
        <v>특수</v>
      </c>
    </row>
    <row r="346" spans="1:9" x14ac:dyDescent="0.3">
      <c r="A346" s="2" t="str">
        <f t="shared" si="69"/>
        <v>20240724</v>
      </c>
      <c r="B346" s="2" t="str">
        <f>"35373503"</f>
        <v>35373503</v>
      </c>
      <c r="C346" s="2" t="str">
        <f>"강민욱"</f>
        <v>강민욱</v>
      </c>
      <c r="D346" s="2" t="str">
        <f>"M"</f>
        <v>M</v>
      </c>
      <c r="E346" s="2" t="str">
        <f>"19900525"</f>
        <v>19900525</v>
      </c>
      <c r="F346" s="2" t="str">
        <f>"34"</f>
        <v>34</v>
      </c>
      <c r="G346" s="2" t="str">
        <f t="shared" si="65"/>
        <v>E78660</v>
      </c>
      <c r="H346" s="2" t="str">
        <f t="shared" si="66"/>
        <v>가톨릭대학교 서울성모병원</v>
      </c>
      <c r="I346" s="2" t="str">
        <f t="shared" si="70"/>
        <v>특수</v>
      </c>
    </row>
    <row r="347" spans="1:9" x14ac:dyDescent="0.3">
      <c r="A347" s="2" t="str">
        <f t="shared" si="69"/>
        <v>20240724</v>
      </c>
      <c r="B347" s="2" t="str">
        <f>"35758020"</f>
        <v>35758020</v>
      </c>
      <c r="C347" s="2" t="str">
        <f>"심영하"</f>
        <v>심영하</v>
      </c>
      <c r="D347" s="2" t="str">
        <f>"F"</f>
        <v>F</v>
      </c>
      <c r="E347" s="2" t="str">
        <f>"19920426"</f>
        <v>19920426</v>
      </c>
      <c r="F347" s="2" t="str">
        <f>"32"</f>
        <v>32</v>
      </c>
      <c r="G347" s="2" t="str">
        <f t="shared" si="65"/>
        <v>E78660</v>
      </c>
      <c r="H347" s="2" t="str">
        <f t="shared" si="66"/>
        <v>가톨릭대학교 서울성모병원</v>
      </c>
      <c r="I347" s="2" t="str">
        <f t="shared" si="70"/>
        <v>특수</v>
      </c>
    </row>
    <row r="348" spans="1:9" x14ac:dyDescent="0.3">
      <c r="A348" s="2" t="str">
        <f t="shared" si="69"/>
        <v>20240724</v>
      </c>
      <c r="B348" s="2" t="str">
        <f>"36152634"</f>
        <v>36152634</v>
      </c>
      <c r="C348" s="2" t="str">
        <f>"정정민"</f>
        <v>정정민</v>
      </c>
      <c r="D348" s="2" t="str">
        <f>"F"</f>
        <v>F</v>
      </c>
      <c r="E348" s="2" t="str">
        <f>"19980819"</f>
        <v>19980819</v>
      </c>
      <c r="F348" s="2" t="str">
        <f>"25"</f>
        <v>25</v>
      </c>
      <c r="G348" s="2" t="str">
        <f t="shared" si="65"/>
        <v>E78660</v>
      </c>
      <c r="H348" s="2" t="str">
        <f t="shared" si="66"/>
        <v>가톨릭대학교 서울성모병원</v>
      </c>
      <c r="I348" s="2" t="str">
        <f t="shared" si="70"/>
        <v>특수</v>
      </c>
    </row>
    <row r="349" spans="1:9" x14ac:dyDescent="0.3">
      <c r="A349" s="2" t="str">
        <f t="shared" si="69"/>
        <v>20240724</v>
      </c>
      <c r="B349" s="2" t="str">
        <f>"37661404"</f>
        <v>37661404</v>
      </c>
      <c r="C349" s="2" t="str">
        <f>"김서영"</f>
        <v>김서영</v>
      </c>
      <c r="D349" s="2" t="str">
        <f>"F"</f>
        <v>F</v>
      </c>
      <c r="E349" s="2" t="str">
        <f>"19990209"</f>
        <v>19990209</v>
      </c>
      <c r="F349" s="2" t="str">
        <f>"25"</f>
        <v>25</v>
      </c>
      <c r="G349" s="2" t="str">
        <f t="shared" si="65"/>
        <v>E78660</v>
      </c>
      <c r="H349" s="2" t="str">
        <f t="shared" si="66"/>
        <v>가톨릭대학교 서울성모병원</v>
      </c>
      <c r="I349" s="2" t="str">
        <f t="shared" si="70"/>
        <v>특수</v>
      </c>
    </row>
    <row r="350" spans="1:9" x14ac:dyDescent="0.3">
      <c r="A350" s="2" t="str">
        <f t="shared" si="69"/>
        <v>20240724</v>
      </c>
      <c r="B350" s="2" t="str">
        <f>"38312435"</f>
        <v>38312435</v>
      </c>
      <c r="C350" s="2" t="str">
        <f>"서진영"</f>
        <v>서진영</v>
      </c>
      <c r="D350" s="2" t="str">
        <f>"F"</f>
        <v>F</v>
      </c>
      <c r="E350" s="2" t="str">
        <f>"19990905"</f>
        <v>19990905</v>
      </c>
      <c r="F350" s="2" t="str">
        <f>"24"</f>
        <v>24</v>
      </c>
      <c r="G350" s="2" t="str">
        <f t="shared" si="65"/>
        <v>E78660</v>
      </c>
      <c r="H350" s="2" t="str">
        <f t="shared" si="66"/>
        <v>가톨릭대학교 서울성모병원</v>
      </c>
      <c r="I350" s="2" t="str">
        <f t="shared" si="70"/>
        <v>특수</v>
      </c>
    </row>
    <row r="351" spans="1:9" x14ac:dyDescent="0.3">
      <c r="A351" s="2" t="str">
        <f t="shared" si="69"/>
        <v>20240724</v>
      </c>
      <c r="B351" s="2" t="str">
        <f>"38541783"</f>
        <v>38541783</v>
      </c>
      <c r="C351" s="2" t="str">
        <f>"정하린"</f>
        <v>정하린</v>
      </c>
      <c r="D351" s="2" t="str">
        <f>"F"</f>
        <v>F</v>
      </c>
      <c r="E351" s="2" t="str">
        <f>"19930111"</f>
        <v>19930111</v>
      </c>
      <c r="F351" s="2" t="str">
        <f>"31"</f>
        <v>31</v>
      </c>
      <c r="G351" s="2" t="str">
        <f t="shared" si="65"/>
        <v>E78660</v>
      </c>
      <c r="H351" s="2" t="str">
        <f t="shared" si="66"/>
        <v>가톨릭대학교 서울성모병원</v>
      </c>
      <c r="I351" s="2" t="str">
        <f t="shared" si="70"/>
        <v>특수</v>
      </c>
    </row>
    <row r="352" spans="1:9" x14ac:dyDescent="0.3">
      <c r="A352" s="2" t="str">
        <f t="shared" si="69"/>
        <v>20240724</v>
      </c>
      <c r="B352" s="2" t="str">
        <f>"39672233"</f>
        <v>39672233</v>
      </c>
      <c r="C352" s="2" t="str">
        <f>"임근재"</f>
        <v>임근재</v>
      </c>
      <c r="D352" s="2" t="str">
        <f>"M"</f>
        <v>M</v>
      </c>
      <c r="E352" s="2" t="str">
        <f>"19950205"</f>
        <v>19950205</v>
      </c>
      <c r="F352" s="2" t="str">
        <f>"29"</f>
        <v>29</v>
      </c>
      <c r="G352" s="2" t="str">
        <f t="shared" si="65"/>
        <v>E78660</v>
      </c>
      <c r="H352" s="2" t="str">
        <f t="shared" si="66"/>
        <v>가톨릭대학교 서울성모병원</v>
      </c>
      <c r="I352" s="2" t="str">
        <f>"배치후"</f>
        <v>배치후</v>
      </c>
    </row>
    <row r="353" spans="1:9" x14ac:dyDescent="0.3">
      <c r="A353" s="2" t="str">
        <f t="shared" si="69"/>
        <v>20240724</v>
      </c>
      <c r="B353" s="2" t="str">
        <f>"39857410"</f>
        <v>39857410</v>
      </c>
      <c r="C353" s="2" t="str">
        <f>"이다솜"</f>
        <v>이다솜</v>
      </c>
      <c r="D353" s="2" t="str">
        <f>"F"</f>
        <v>F</v>
      </c>
      <c r="E353" s="2" t="str">
        <f>"19850222"</f>
        <v>19850222</v>
      </c>
      <c r="F353" s="2" t="str">
        <f>"39"</f>
        <v>39</v>
      </c>
      <c r="G353" s="2" t="str">
        <f t="shared" si="65"/>
        <v>E78660</v>
      </c>
      <c r="H353" s="2" t="str">
        <f t="shared" si="66"/>
        <v>가톨릭대학교 서울성모병원</v>
      </c>
      <c r="I353" s="2" t="str">
        <f>"배치전"</f>
        <v>배치전</v>
      </c>
    </row>
    <row r="354" spans="1:9" x14ac:dyDescent="0.3">
      <c r="A354" s="2" t="str">
        <f t="shared" si="69"/>
        <v>20240724</v>
      </c>
      <c r="B354" s="2" t="str">
        <f>"40030695"</f>
        <v>40030695</v>
      </c>
      <c r="C354" s="2" t="str">
        <f>"강영희"</f>
        <v>강영희</v>
      </c>
      <c r="D354" s="2" t="str">
        <f>"F"</f>
        <v>F</v>
      </c>
      <c r="E354" s="2" t="str">
        <f>"19930311"</f>
        <v>19930311</v>
      </c>
      <c r="F354" s="2" t="str">
        <f>"31"</f>
        <v>31</v>
      </c>
      <c r="G354" s="2" t="str">
        <f t="shared" si="65"/>
        <v>E78660</v>
      </c>
      <c r="H354" s="2" t="str">
        <f t="shared" si="66"/>
        <v>가톨릭대학교 서울성모병원</v>
      </c>
      <c r="I354" s="2" t="str">
        <f>"배치전"</f>
        <v>배치전</v>
      </c>
    </row>
    <row r="355" spans="1:9" x14ac:dyDescent="0.3">
      <c r="A355" s="2" t="str">
        <f t="shared" si="69"/>
        <v>20240724</v>
      </c>
      <c r="B355" s="2" t="str">
        <f>"40043541"</f>
        <v>40043541</v>
      </c>
      <c r="C355" s="2" t="str">
        <f>"최세음"</f>
        <v>최세음</v>
      </c>
      <c r="D355" s="2" t="str">
        <f>"M"</f>
        <v>M</v>
      </c>
      <c r="E355" s="2" t="str">
        <f>"19980821"</f>
        <v>19980821</v>
      </c>
      <c r="F355" s="2" t="str">
        <f>"25"</f>
        <v>25</v>
      </c>
      <c r="G355" s="2" t="str">
        <f t="shared" si="65"/>
        <v>E78660</v>
      </c>
      <c r="H355" s="2" t="str">
        <f t="shared" si="66"/>
        <v>가톨릭대학교 서울성모병원</v>
      </c>
      <c r="I355" s="2" t="str">
        <f>"배치전"</f>
        <v>배치전</v>
      </c>
    </row>
    <row r="356" spans="1:9" x14ac:dyDescent="0.3">
      <c r="A356" s="2" t="str">
        <f t="shared" si="69"/>
        <v>20240724</v>
      </c>
      <c r="B356" s="2" t="str">
        <f>"7273609"</f>
        <v>7273609</v>
      </c>
      <c r="C356" s="2" t="str">
        <f>"이보영"</f>
        <v>이보영</v>
      </c>
      <c r="D356" s="2" t="str">
        <f t="shared" ref="D356:D365" si="71">"F"</f>
        <v>F</v>
      </c>
      <c r="E356" s="2" t="str">
        <f>"19911114"</f>
        <v>19911114</v>
      </c>
      <c r="F356" s="2" t="str">
        <f>"32"</f>
        <v>32</v>
      </c>
      <c r="G356" s="2" t="str">
        <f t="shared" si="65"/>
        <v>E78660</v>
      </c>
      <c r="H356" s="2" t="str">
        <f t="shared" si="66"/>
        <v>가톨릭대학교 서울성모병원</v>
      </c>
      <c r="I356" s="2" t="str">
        <f t="shared" ref="I356:I372" si="72">"특수"</f>
        <v>특수</v>
      </c>
    </row>
    <row r="357" spans="1:9" x14ac:dyDescent="0.3">
      <c r="A357" s="2" t="str">
        <f t="shared" ref="A357:A362" si="73">"20240725"</f>
        <v>20240725</v>
      </c>
      <c r="B357" s="2" t="str">
        <f>"21250414"</f>
        <v>21250414</v>
      </c>
      <c r="C357" s="2" t="str">
        <f>"최서연"</f>
        <v>최서연</v>
      </c>
      <c r="D357" s="2" t="str">
        <f t="shared" si="71"/>
        <v>F</v>
      </c>
      <c r="E357" s="2" t="str">
        <f>"19810429"</f>
        <v>19810429</v>
      </c>
      <c r="F357" s="2" t="str">
        <f>"43"</f>
        <v>43</v>
      </c>
      <c r="G357" s="2" t="str">
        <f t="shared" si="65"/>
        <v>E78660</v>
      </c>
      <c r="H357" s="2" t="str">
        <f t="shared" si="66"/>
        <v>가톨릭대학교 서울성모병원</v>
      </c>
      <c r="I357" s="2" t="str">
        <f t="shared" si="72"/>
        <v>특수</v>
      </c>
    </row>
    <row r="358" spans="1:9" x14ac:dyDescent="0.3">
      <c r="A358" s="2" t="str">
        <f t="shared" si="73"/>
        <v>20240725</v>
      </c>
      <c r="B358" s="2" t="str">
        <f>"25478201"</f>
        <v>25478201</v>
      </c>
      <c r="C358" s="2" t="str">
        <f>"조아라"</f>
        <v>조아라</v>
      </c>
      <c r="D358" s="2" t="str">
        <f t="shared" si="71"/>
        <v>F</v>
      </c>
      <c r="E358" s="2" t="str">
        <f>"19900516"</f>
        <v>19900516</v>
      </c>
      <c r="F358" s="2" t="str">
        <f>"34"</f>
        <v>34</v>
      </c>
      <c r="G358" s="2" t="str">
        <f t="shared" si="65"/>
        <v>E78660</v>
      </c>
      <c r="H358" s="2" t="str">
        <f t="shared" si="66"/>
        <v>가톨릭대학교 서울성모병원</v>
      </c>
      <c r="I358" s="2" t="str">
        <f t="shared" si="72"/>
        <v>특수</v>
      </c>
    </row>
    <row r="359" spans="1:9" x14ac:dyDescent="0.3">
      <c r="A359" s="2" t="str">
        <f t="shared" si="73"/>
        <v>20240725</v>
      </c>
      <c r="B359" s="2" t="str">
        <f>"31177434"</f>
        <v>31177434</v>
      </c>
      <c r="C359" s="2" t="str">
        <f>"황채영"</f>
        <v>황채영</v>
      </c>
      <c r="D359" s="2" t="str">
        <f t="shared" si="71"/>
        <v>F</v>
      </c>
      <c r="E359" s="2" t="str">
        <f>"19940706"</f>
        <v>19940706</v>
      </c>
      <c r="F359" s="2" t="str">
        <f>"30"</f>
        <v>30</v>
      </c>
      <c r="G359" s="2" t="str">
        <f t="shared" si="65"/>
        <v>E78660</v>
      </c>
      <c r="H359" s="2" t="str">
        <f t="shared" si="66"/>
        <v>가톨릭대학교 서울성모병원</v>
      </c>
      <c r="I359" s="2" t="str">
        <f t="shared" si="72"/>
        <v>특수</v>
      </c>
    </row>
    <row r="360" spans="1:9" x14ac:dyDescent="0.3">
      <c r="A360" s="2" t="str">
        <f t="shared" si="73"/>
        <v>20240725</v>
      </c>
      <c r="B360" s="2" t="str">
        <f>"33370445"</f>
        <v>33370445</v>
      </c>
      <c r="C360" s="2" t="str">
        <f>"안광희"</f>
        <v>안광희</v>
      </c>
      <c r="D360" s="2" t="str">
        <f t="shared" si="71"/>
        <v>F</v>
      </c>
      <c r="E360" s="2" t="str">
        <f>"19950401"</f>
        <v>19950401</v>
      </c>
      <c r="F360" s="2" t="str">
        <f>"29"</f>
        <v>29</v>
      </c>
      <c r="G360" s="2" t="str">
        <f t="shared" si="65"/>
        <v>E78660</v>
      </c>
      <c r="H360" s="2" t="str">
        <f t="shared" si="66"/>
        <v>가톨릭대학교 서울성모병원</v>
      </c>
      <c r="I360" s="2" t="str">
        <f t="shared" si="72"/>
        <v>특수</v>
      </c>
    </row>
    <row r="361" spans="1:9" x14ac:dyDescent="0.3">
      <c r="A361" s="2" t="str">
        <f t="shared" si="73"/>
        <v>20240725</v>
      </c>
      <c r="B361" s="2" t="str">
        <f>"38702216"</f>
        <v>38702216</v>
      </c>
      <c r="C361" s="2" t="str">
        <f>"김하은"</f>
        <v>김하은</v>
      </c>
      <c r="D361" s="2" t="str">
        <f t="shared" si="71"/>
        <v>F</v>
      </c>
      <c r="E361" s="2" t="str">
        <f>"19950429"</f>
        <v>19950429</v>
      </c>
      <c r="F361" s="2" t="str">
        <f>"29"</f>
        <v>29</v>
      </c>
      <c r="G361" s="2" t="str">
        <f t="shared" si="65"/>
        <v>E78660</v>
      </c>
      <c r="H361" s="2" t="str">
        <f t="shared" si="66"/>
        <v>가톨릭대학교 서울성모병원</v>
      </c>
      <c r="I361" s="2" t="str">
        <f t="shared" si="72"/>
        <v>특수</v>
      </c>
    </row>
    <row r="362" spans="1:9" x14ac:dyDescent="0.3">
      <c r="A362" s="2" t="str">
        <f t="shared" si="73"/>
        <v>20240725</v>
      </c>
      <c r="B362" s="2" t="str">
        <f>"9601610"</f>
        <v>9601610</v>
      </c>
      <c r="C362" s="2" t="str">
        <f>"김진숙"</f>
        <v>김진숙</v>
      </c>
      <c r="D362" s="2" t="str">
        <f t="shared" si="71"/>
        <v>F</v>
      </c>
      <c r="E362" s="2" t="str">
        <f>"19761224"</f>
        <v>19761224</v>
      </c>
      <c r="F362" s="2" t="str">
        <f>"47"</f>
        <v>47</v>
      </c>
      <c r="G362" s="2" t="str">
        <f t="shared" si="65"/>
        <v>E78660</v>
      </c>
      <c r="H362" s="2" t="str">
        <f t="shared" si="66"/>
        <v>가톨릭대학교 서울성모병원</v>
      </c>
      <c r="I362" s="2" t="str">
        <f t="shared" si="72"/>
        <v>특수</v>
      </c>
    </row>
    <row r="363" spans="1:9" x14ac:dyDescent="0.3">
      <c r="A363" s="2" t="str">
        <f>"20240729"</f>
        <v>20240729</v>
      </c>
      <c r="B363" s="2" t="str">
        <f>"17935388"</f>
        <v>17935388</v>
      </c>
      <c r="C363" s="2" t="str">
        <f>"정주영"</f>
        <v>정주영</v>
      </c>
      <c r="D363" s="2" t="str">
        <f t="shared" si="71"/>
        <v>F</v>
      </c>
      <c r="E363" s="2" t="str">
        <f>"19800508"</f>
        <v>19800508</v>
      </c>
      <c r="F363" s="2" t="str">
        <f>"44"</f>
        <v>44</v>
      </c>
      <c r="G363" s="2" t="str">
        <f t="shared" si="65"/>
        <v>E78660</v>
      </c>
      <c r="H363" s="2" t="str">
        <f t="shared" si="66"/>
        <v>가톨릭대학교 서울성모병원</v>
      </c>
      <c r="I363" s="2" t="str">
        <f t="shared" si="72"/>
        <v>특수</v>
      </c>
    </row>
    <row r="364" spans="1:9" x14ac:dyDescent="0.3">
      <c r="A364" s="2" t="str">
        <f>"20240729"</f>
        <v>20240729</v>
      </c>
      <c r="B364" s="2" t="str">
        <f>"26291292"</f>
        <v>26291292</v>
      </c>
      <c r="C364" s="2" t="str">
        <f>"박승아"</f>
        <v>박승아</v>
      </c>
      <c r="D364" s="2" t="str">
        <f t="shared" si="71"/>
        <v>F</v>
      </c>
      <c r="E364" s="2" t="str">
        <f>"19910130"</f>
        <v>19910130</v>
      </c>
      <c r="F364" s="2" t="str">
        <f>"33"</f>
        <v>33</v>
      </c>
      <c r="G364" s="2" t="str">
        <f t="shared" si="65"/>
        <v>E78660</v>
      </c>
      <c r="H364" s="2" t="str">
        <f t="shared" si="66"/>
        <v>가톨릭대학교 서울성모병원</v>
      </c>
      <c r="I364" s="2" t="str">
        <f t="shared" si="72"/>
        <v>특수</v>
      </c>
    </row>
    <row r="365" spans="1:9" x14ac:dyDescent="0.3">
      <c r="A365" s="2" t="str">
        <f>"20240729"</f>
        <v>20240729</v>
      </c>
      <c r="B365" s="2" t="str">
        <f>"33370413"</f>
        <v>33370413</v>
      </c>
      <c r="C365" s="2" t="str">
        <f>"이다현"</f>
        <v>이다현</v>
      </c>
      <c r="D365" s="2" t="str">
        <f t="shared" si="71"/>
        <v>F</v>
      </c>
      <c r="E365" s="2" t="str">
        <f>"19960302"</f>
        <v>19960302</v>
      </c>
      <c r="F365" s="2" t="str">
        <f>"28"</f>
        <v>28</v>
      </c>
      <c r="G365" s="2" t="str">
        <f t="shared" si="65"/>
        <v>E78660</v>
      </c>
      <c r="H365" s="2" t="str">
        <f t="shared" si="66"/>
        <v>가톨릭대학교 서울성모병원</v>
      </c>
      <c r="I365" s="2" t="str">
        <f t="shared" si="72"/>
        <v>특수</v>
      </c>
    </row>
    <row r="366" spans="1:9" x14ac:dyDescent="0.3">
      <c r="A366" s="2" t="str">
        <f>"20240729"</f>
        <v>20240729</v>
      </c>
      <c r="B366" s="2" t="str">
        <f>"33436331"</f>
        <v>33436331</v>
      </c>
      <c r="C366" s="2" t="str">
        <f>"오왕석"</f>
        <v>오왕석</v>
      </c>
      <c r="D366" s="2" t="str">
        <f>"M"</f>
        <v>M</v>
      </c>
      <c r="E366" s="2" t="str">
        <f>"19910904"</f>
        <v>19910904</v>
      </c>
      <c r="F366" s="2" t="str">
        <f>"32"</f>
        <v>32</v>
      </c>
      <c r="G366" s="2" t="str">
        <f t="shared" si="65"/>
        <v>E78660</v>
      </c>
      <c r="H366" s="2" t="str">
        <f t="shared" si="66"/>
        <v>가톨릭대학교 서울성모병원</v>
      </c>
      <c r="I366" s="2" t="str">
        <f t="shared" si="72"/>
        <v>특수</v>
      </c>
    </row>
    <row r="367" spans="1:9" x14ac:dyDescent="0.3">
      <c r="A367" s="2" t="str">
        <f>"20240729"</f>
        <v>20240729</v>
      </c>
      <c r="B367" s="2" t="str">
        <f>"4764891"</f>
        <v>4764891</v>
      </c>
      <c r="C367" s="2" t="str">
        <f>"최원석"</f>
        <v>최원석</v>
      </c>
      <c r="D367" s="2" t="str">
        <f>"M"</f>
        <v>M</v>
      </c>
      <c r="E367" s="2" t="str">
        <f>"19850819"</f>
        <v>19850819</v>
      </c>
      <c r="F367" s="2" t="str">
        <f>"38"</f>
        <v>38</v>
      </c>
      <c r="G367" s="2" t="str">
        <f t="shared" si="65"/>
        <v>E78660</v>
      </c>
      <c r="H367" s="2" t="str">
        <f t="shared" si="66"/>
        <v>가톨릭대학교 서울성모병원</v>
      </c>
      <c r="I367" s="2" t="str">
        <f t="shared" si="72"/>
        <v>특수</v>
      </c>
    </row>
    <row r="368" spans="1:9" x14ac:dyDescent="0.3">
      <c r="A368" s="2" t="str">
        <f t="shared" ref="A368:A376" si="74">"20240730"</f>
        <v>20240730</v>
      </c>
      <c r="B368" s="2" t="str">
        <f>"11243384"</f>
        <v>11243384</v>
      </c>
      <c r="C368" s="2" t="str">
        <f>"방병문"</f>
        <v>방병문</v>
      </c>
      <c r="D368" s="2" t="str">
        <f>"M"</f>
        <v>M</v>
      </c>
      <c r="E368" s="2" t="str">
        <f>"19681019"</f>
        <v>19681019</v>
      </c>
      <c r="F368" s="2" t="str">
        <f>"55"</f>
        <v>55</v>
      </c>
      <c r="G368" s="2" t="str">
        <f t="shared" si="65"/>
        <v>E78660</v>
      </c>
      <c r="H368" s="2" t="str">
        <f t="shared" si="66"/>
        <v>가톨릭대학교 서울성모병원</v>
      </c>
      <c r="I368" s="2" t="str">
        <f t="shared" si="72"/>
        <v>특수</v>
      </c>
    </row>
    <row r="369" spans="1:9" x14ac:dyDescent="0.3">
      <c r="A369" s="2" t="str">
        <f t="shared" si="74"/>
        <v>20240730</v>
      </c>
      <c r="B369" s="2" t="str">
        <f>"12561356"</f>
        <v>12561356</v>
      </c>
      <c r="C369" s="2" t="str">
        <f>"이서아"</f>
        <v>이서아</v>
      </c>
      <c r="D369" s="2" t="str">
        <f t="shared" ref="D369:D377" si="75">"F"</f>
        <v>F</v>
      </c>
      <c r="E369" s="2" t="str">
        <f>"19801106"</f>
        <v>19801106</v>
      </c>
      <c r="F369" s="2" t="str">
        <f>"43"</f>
        <v>43</v>
      </c>
      <c r="G369" s="2" t="str">
        <f t="shared" si="65"/>
        <v>E78660</v>
      </c>
      <c r="H369" s="2" t="str">
        <f t="shared" si="66"/>
        <v>가톨릭대학교 서울성모병원</v>
      </c>
      <c r="I369" s="2" t="str">
        <f t="shared" si="72"/>
        <v>특수</v>
      </c>
    </row>
    <row r="370" spans="1:9" x14ac:dyDescent="0.3">
      <c r="A370" s="2" t="str">
        <f t="shared" si="74"/>
        <v>20240730</v>
      </c>
      <c r="B370" s="2" t="str">
        <f>"29611800"</f>
        <v>29611800</v>
      </c>
      <c r="C370" s="2" t="str">
        <f>"박서랑"</f>
        <v>박서랑</v>
      </c>
      <c r="D370" s="2" t="str">
        <f t="shared" si="75"/>
        <v>F</v>
      </c>
      <c r="E370" s="2" t="str">
        <f>"19920609"</f>
        <v>19920609</v>
      </c>
      <c r="F370" s="2" t="str">
        <f>"32"</f>
        <v>32</v>
      </c>
      <c r="G370" s="2" t="str">
        <f t="shared" si="65"/>
        <v>E78660</v>
      </c>
      <c r="H370" s="2" t="str">
        <f t="shared" si="66"/>
        <v>가톨릭대학교 서울성모병원</v>
      </c>
      <c r="I370" s="2" t="str">
        <f t="shared" si="72"/>
        <v>특수</v>
      </c>
    </row>
    <row r="371" spans="1:9" x14ac:dyDescent="0.3">
      <c r="A371" s="2" t="str">
        <f t="shared" si="74"/>
        <v>20240730</v>
      </c>
      <c r="B371" s="2" t="str">
        <f>"31545301"</f>
        <v>31545301</v>
      </c>
      <c r="C371" s="2" t="str">
        <f>"박이슬"</f>
        <v>박이슬</v>
      </c>
      <c r="D371" s="2" t="str">
        <f t="shared" si="75"/>
        <v>F</v>
      </c>
      <c r="E371" s="2" t="str">
        <f>"19940330"</f>
        <v>19940330</v>
      </c>
      <c r="F371" s="2" t="str">
        <f>"30"</f>
        <v>30</v>
      </c>
      <c r="G371" s="2" t="str">
        <f t="shared" si="65"/>
        <v>E78660</v>
      </c>
      <c r="H371" s="2" t="str">
        <f t="shared" si="66"/>
        <v>가톨릭대학교 서울성모병원</v>
      </c>
      <c r="I371" s="2" t="str">
        <f t="shared" si="72"/>
        <v>특수</v>
      </c>
    </row>
    <row r="372" spans="1:9" x14ac:dyDescent="0.3">
      <c r="A372" s="2" t="str">
        <f t="shared" si="74"/>
        <v>20240730</v>
      </c>
      <c r="B372" s="2" t="str">
        <f>"37056116"</f>
        <v>37056116</v>
      </c>
      <c r="C372" s="2" t="str">
        <f>"유나현"</f>
        <v>유나현</v>
      </c>
      <c r="D372" s="2" t="str">
        <f t="shared" si="75"/>
        <v>F</v>
      </c>
      <c r="E372" s="2" t="str">
        <f>"19950309"</f>
        <v>19950309</v>
      </c>
      <c r="F372" s="2" t="str">
        <f>"29"</f>
        <v>29</v>
      </c>
      <c r="G372" s="2" t="str">
        <f t="shared" si="65"/>
        <v>E78660</v>
      </c>
      <c r="H372" s="2" t="str">
        <f t="shared" si="66"/>
        <v>가톨릭대학교 서울성모병원</v>
      </c>
      <c r="I372" s="2" t="str">
        <f t="shared" si="72"/>
        <v>특수</v>
      </c>
    </row>
    <row r="373" spans="1:9" x14ac:dyDescent="0.3">
      <c r="A373" s="2" t="str">
        <f t="shared" si="74"/>
        <v>20240730</v>
      </c>
      <c r="B373" s="2" t="str">
        <f>"37904422"</f>
        <v>37904422</v>
      </c>
      <c r="C373" s="2" t="str">
        <f>"진정화"</f>
        <v>진정화</v>
      </c>
      <c r="D373" s="2" t="str">
        <f t="shared" si="75"/>
        <v>F</v>
      </c>
      <c r="E373" s="2" t="str">
        <f>"19990316"</f>
        <v>19990316</v>
      </c>
      <c r="F373" s="2" t="str">
        <f>"25"</f>
        <v>25</v>
      </c>
      <c r="G373" s="2" t="str">
        <f t="shared" si="65"/>
        <v>E78660</v>
      </c>
      <c r="H373" s="2" t="str">
        <f t="shared" si="66"/>
        <v>가톨릭대학교 서울성모병원</v>
      </c>
      <c r="I373" s="2" t="str">
        <f>"배치후"</f>
        <v>배치후</v>
      </c>
    </row>
    <row r="374" spans="1:9" x14ac:dyDescent="0.3">
      <c r="A374" s="2" t="str">
        <f t="shared" si="74"/>
        <v>20240730</v>
      </c>
      <c r="B374" s="2" t="str">
        <f>"38149102"</f>
        <v>38149102</v>
      </c>
      <c r="C374" s="2" t="str">
        <f>"서주희"</f>
        <v>서주희</v>
      </c>
      <c r="D374" s="2" t="str">
        <f t="shared" si="75"/>
        <v>F</v>
      </c>
      <c r="E374" s="2" t="str">
        <f>"19961101"</f>
        <v>19961101</v>
      </c>
      <c r="F374" s="2" t="str">
        <f>"27"</f>
        <v>27</v>
      </c>
      <c r="G374" s="2" t="str">
        <f t="shared" si="65"/>
        <v>E78660</v>
      </c>
      <c r="H374" s="2" t="str">
        <f t="shared" si="66"/>
        <v>가톨릭대학교 서울성모병원</v>
      </c>
      <c r="I374" s="2" t="str">
        <f t="shared" ref="I374:I380" si="76">"특수"</f>
        <v>특수</v>
      </c>
    </row>
    <row r="375" spans="1:9" x14ac:dyDescent="0.3">
      <c r="A375" s="2" t="str">
        <f t="shared" si="74"/>
        <v>20240730</v>
      </c>
      <c r="B375" s="2" t="str">
        <f>"38197235"</f>
        <v>38197235</v>
      </c>
      <c r="C375" s="2" t="str">
        <f>"김미정"</f>
        <v>김미정</v>
      </c>
      <c r="D375" s="2" t="str">
        <f t="shared" si="75"/>
        <v>F</v>
      </c>
      <c r="E375" s="2" t="str">
        <f>"19670906"</f>
        <v>19670906</v>
      </c>
      <c r="F375" s="2" t="str">
        <f>"56"</f>
        <v>56</v>
      </c>
      <c r="G375" s="2" t="str">
        <f t="shared" si="65"/>
        <v>E78660</v>
      </c>
      <c r="H375" s="2" t="str">
        <f t="shared" si="66"/>
        <v>가톨릭대학교 서울성모병원</v>
      </c>
      <c r="I375" s="2" t="str">
        <f t="shared" si="76"/>
        <v>특수</v>
      </c>
    </row>
    <row r="376" spans="1:9" x14ac:dyDescent="0.3">
      <c r="A376" s="2" t="str">
        <f t="shared" si="74"/>
        <v>20240730</v>
      </c>
      <c r="B376" s="2" t="str">
        <f>"38485642"</f>
        <v>38485642</v>
      </c>
      <c r="C376" s="2" t="str">
        <f>"이미경"</f>
        <v>이미경</v>
      </c>
      <c r="D376" s="2" t="str">
        <f t="shared" si="75"/>
        <v>F</v>
      </c>
      <c r="E376" s="2" t="str">
        <f>"19710714"</f>
        <v>19710714</v>
      </c>
      <c r="F376" s="2" t="str">
        <f>"53"</f>
        <v>53</v>
      </c>
      <c r="G376" s="2" t="str">
        <f t="shared" si="65"/>
        <v>E78660</v>
      </c>
      <c r="H376" s="2" t="str">
        <f t="shared" si="66"/>
        <v>가톨릭대학교 서울성모병원</v>
      </c>
      <c r="I376" s="2" t="str">
        <f t="shared" si="76"/>
        <v>특수</v>
      </c>
    </row>
    <row r="377" spans="1:9" x14ac:dyDescent="0.3">
      <c r="A377" s="2" t="str">
        <f t="shared" ref="A377:A384" si="77">"20240731"</f>
        <v>20240731</v>
      </c>
      <c r="B377" s="2" t="str">
        <f>"16099185"</f>
        <v>16099185</v>
      </c>
      <c r="C377" s="2" t="str">
        <f>"이상미"</f>
        <v>이상미</v>
      </c>
      <c r="D377" s="2" t="str">
        <f t="shared" si="75"/>
        <v>F</v>
      </c>
      <c r="E377" s="2" t="str">
        <f>"19800226"</f>
        <v>19800226</v>
      </c>
      <c r="F377" s="2" t="str">
        <f>"44"</f>
        <v>44</v>
      </c>
      <c r="G377" s="2" t="str">
        <f t="shared" si="65"/>
        <v>E78660</v>
      </c>
      <c r="H377" s="2" t="str">
        <f t="shared" si="66"/>
        <v>가톨릭대학교 서울성모병원</v>
      </c>
      <c r="I377" s="2" t="str">
        <f t="shared" si="76"/>
        <v>특수</v>
      </c>
    </row>
    <row r="378" spans="1:9" x14ac:dyDescent="0.3">
      <c r="A378" s="2" t="str">
        <f t="shared" si="77"/>
        <v>20240731</v>
      </c>
      <c r="B378" s="2" t="str">
        <f>"18812613"</f>
        <v>18812613</v>
      </c>
      <c r="C378" s="2" t="str">
        <f>"이종일"</f>
        <v>이종일</v>
      </c>
      <c r="D378" s="2" t="str">
        <f>"M"</f>
        <v>M</v>
      </c>
      <c r="E378" s="2" t="str">
        <f>"19700413"</f>
        <v>19700413</v>
      </c>
      <c r="F378" s="2" t="str">
        <f>"54"</f>
        <v>54</v>
      </c>
      <c r="G378" s="2" t="str">
        <f t="shared" si="65"/>
        <v>E78660</v>
      </c>
      <c r="H378" s="2" t="str">
        <f t="shared" si="66"/>
        <v>가톨릭대학교 서울성모병원</v>
      </c>
      <c r="I378" s="2" t="str">
        <f t="shared" si="76"/>
        <v>특수</v>
      </c>
    </row>
    <row r="379" spans="1:9" x14ac:dyDescent="0.3">
      <c r="A379" s="2" t="str">
        <f t="shared" si="77"/>
        <v>20240731</v>
      </c>
      <c r="B379" s="2" t="str">
        <f>"33465932"</f>
        <v>33465932</v>
      </c>
      <c r="C379" s="2" t="str">
        <f>"김소정"</f>
        <v>김소정</v>
      </c>
      <c r="D379" s="2" t="str">
        <f t="shared" ref="D379:D384" si="78">"F"</f>
        <v>F</v>
      </c>
      <c r="E379" s="2" t="str">
        <f>"19960923"</f>
        <v>19960923</v>
      </c>
      <c r="F379" s="2" t="str">
        <f>"27"</f>
        <v>27</v>
      </c>
      <c r="G379" s="2" t="str">
        <f t="shared" si="65"/>
        <v>E78660</v>
      </c>
      <c r="H379" s="2" t="str">
        <f t="shared" si="66"/>
        <v>가톨릭대학교 서울성모병원</v>
      </c>
      <c r="I379" s="2" t="str">
        <f t="shared" si="76"/>
        <v>특수</v>
      </c>
    </row>
    <row r="380" spans="1:9" x14ac:dyDescent="0.3">
      <c r="A380" s="2" t="str">
        <f t="shared" si="77"/>
        <v>20240731</v>
      </c>
      <c r="B380" s="2" t="str">
        <f>"34067964"</f>
        <v>34067964</v>
      </c>
      <c r="C380" s="2" t="str">
        <f>"한예슬"</f>
        <v>한예슬</v>
      </c>
      <c r="D380" s="2" t="str">
        <f t="shared" si="78"/>
        <v>F</v>
      </c>
      <c r="E380" s="2" t="str">
        <f>"19940903"</f>
        <v>19940903</v>
      </c>
      <c r="F380" s="2" t="str">
        <f>"29"</f>
        <v>29</v>
      </c>
      <c r="G380" s="2" t="str">
        <f t="shared" si="65"/>
        <v>E78660</v>
      </c>
      <c r="H380" s="2" t="str">
        <f t="shared" si="66"/>
        <v>가톨릭대학교 서울성모병원</v>
      </c>
      <c r="I380" s="2" t="str">
        <f t="shared" si="76"/>
        <v>특수</v>
      </c>
    </row>
    <row r="381" spans="1:9" x14ac:dyDescent="0.3">
      <c r="A381" s="2" t="str">
        <f t="shared" si="77"/>
        <v>20240731</v>
      </c>
      <c r="B381" s="2" t="str">
        <f>"35505943"</f>
        <v>35505943</v>
      </c>
      <c r="C381" s="2" t="str">
        <f>"정윤하"</f>
        <v>정윤하</v>
      </c>
      <c r="D381" s="2" t="str">
        <f t="shared" si="78"/>
        <v>F</v>
      </c>
      <c r="E381" s="2" t="str">
        <f>"19971029"</f>
        <v>19971029</v>
      </c>
      <c r="F381" s="2" t="str">
        <f>"26"</f>
        <v>26</v>
      </c>
      <c r="G381" s="2" t="str">
        <f t="shared" si="65"/>
        <v>E78660</v>
      </c>
      <c r="H381" s="2" t="str">
        <f t="shared" si="66"/>
        <v>가톨릭대학교 서울성모병원</v>
      </c>
      <c r="I381" s="2" t="str">
        <f>"배치전"</f>
        <v>배치전</v>
      </c>
    </row>
    <row r="382" spans="1:9" x14ac:dyDescent="0.3">
      <c r="A382" s="2" t="str">
        <f t="shared" si="77"/>
        <v>20240731</v>
      </c>
      <c r="B382" s="2" t="str">
        <f>"37017136"</f>
        <v>37017136</v>
      </c>
      <c r="C382" s="2" t="str">
        <f>"김영림"</f>
        <v>김영림</v>
      </c>
      <c r="D382" s="2" t="str">
        <f t="shared" si="78"/>
        <v>F</v>
      </c>
      <c r="E382" s="2" t="str">
        <f>"19980529"</f>
        <v>19980529</v>
      </c>
      <c r="F382" s="2" t="str">
        <f>"26"</f>
        <v>26</v>
      </c>
      <c r="G382" s="2" t="str">
        <f t="shared" si="65"/>
        <v>E78660</v>
      </c>
      <c r="H382" s="2" t="str">
        <f t="shared" si="66"/>
        <v>가톨릭대학교 서울성모병원</v>
      </c>
      <c r="I382" s="2" t="str">
        <f t="shared" ref="I382:I389" si="79">"특수"</f>
        <v>특수</v>
      </c>
    </row>
    <row r="383" spans="1:9" x14ac:dyDescent="0.3">
      <c r="A383" s="2" t="str">
        <f t="shared" si="77"/>
        <v>20240731</v>
      </c>
      <c r="B383" s="2" t="str">
        <f>"37610871"</f>
        <v>37610871</v>
      </c>
      <c r="C383" s="2" t="str">
        <f>"윤보람"</f>
        <v>윤보람</v>
      </c>
      <c r="D383" s="2" t="str">
        <f t="shared" si="78"/>
        <v>F</v>
      </c>
      <c r="E383" s="2" t="str">
        <f>"19941126"</f>
        <v>19941126</v>
      </c>
      <c r="F383" s="2" t="str">
        <f>"29"</f>
        <v>29</v>
      </c>
      <c r="G383" s="2" t="str">
        <f t="shared" si="65"/>
        <v>E78660</v>
      </c>
      <c r="H383" s="2" t="str">
        <f t="shared" si="66"/>
        <v>가톨릭대학교 서울성모병원</v>
      </c>
      <c r="I383" s="2" t="str">
        <f t="shared" si="79"/>
        <v>특수</v>
      </c>
    </row>
    <row r="384" spans="1:9" x14ac:dyDescent="0.3">
      <c r="A384" s="2" t="str">
        <f t="shared" si="77"/>
        <v>20240731</v>
      </c>
      <c r="B384" s="2" t="str">
        <f>"38353474"</f>
        <v>38353474</v>
      </c>
      <c r="C384" s="2" t="str">
        <f>"허주혜"</f>
        <v>허주혜</v>
      </c>
      <c r="D384" s="2" t="str">
        <f t="shared" si="78"/>
        <v>F</v>
      </c>
      <c r="E384" s="2" t="str">
        <f>"19990922"</f>
        <v>19990922</v>
      </c>
      <c r="F384" s="2" t="str">
        <f>"24"</f>
        <v>24</v>
      </c>
      <c r="G384" s="2" t="str">
        <f t="shared" si="65"/>
        <v>E78660</v>
      </c>
      <c r="H384" s="2" t="str">
        <f t="shared" si="66"/>
        <v>가톨릭대학교 서울성모병원</v>
      </c>
      <c r="I384" s="2" t="str">
        <f t="shared" si="79"/>
        <v>특수</v>
      </c>
    </row>
    <row r="385" spans="1:9" x14ac:dyDescent="0.3">
      <c r="A385" s="2" t="str">
        <f t="shared" ref="A385:A390" si="80">"20240801"</f>
        <v>20240801</v>
      </c>
      <c r="B385" s="2" t="str">
        <f>"19795704"</f>
        <v>19795704</v>
      </c>
      <c r="C385" s="2" t="str">
        <f>"신종학"</f>
        <v>신종학</v>
      </c>
      <c r="D385" s="2" t="str">
        <f>"M"</f>
        <v>M</v>
      </c>
      <c r="E385" s="2" t="str">
        <f>"19851025"</f>
        <v>19851025</v>
      </c>
      <c r="F385" s="2" t="str">
        <f>"38"</f>
        <v>38</v>
      </c>
      <c r="G385" s="2" t="str">
        <f t="shared" si="65"/>
        <v>E78660</v>
      </c>
      <c r="H385" s="2" t="str">
        <f t="shared" si="66"/>
        <v>가톨릭대학교 서울성모병원</v>
      </c>
      <c r="I385" s="2" t="str">
        <f t="shared" si="79"/>
        <v>특수</v>
      </c>
    </row>
    <row r="386" spans="1:9" x14ac:dyDescent="0.3">
      <c r="A386" s="2" t="str">
        <f t="shared" si="80"/>
        <v>20240801</v>
      </c>
      <c r="B386" s="2" t="str">
        <f>"22833496"</f>
        <v>22833496</v>
      </c>
      <c r="C386" s="2" t="str">
        <f>"송현근"</f>
        <v>송현근</v>
      </c>
      <c r="D386" s="2" t="str">
        <f>"M"</f>
        <v>M</v>
      </c>
      <c r="E386" s="2" t="str">
        <f>"19801115"</f>
        <v>19801115</v>
      </c>
      <c r="F386" s="2" t="str">
        <f>"43"</f>
        <v>43</v>
      </c>
      <c r="G386" s="2" t="str">
        <f t="shared" ref="G386:G449" si="81">"E78660"</f>
        <v>E78660</v>
      </c>
      <c r="H386" s="2" t="str">
        <f t="shared" ref="H386:H449" si="82">"가톨릭대학교 서울성모병원"</f>
        <v>가톨릭대학교 서울성모병원</v>
      </c>
      <c r="I386" s="2" t="str">
        <f t="shared" si="79"/>
        <v>특수</v>
      </c>
    </row>
    <row r="387" spans="1:9" x14ac:dyDescent="0.3">
      <c r="A387" s="2" t="str">
        <f t="shared" si="80"/>
        <v>20240801</v>
      </c>
      <c r="B387" s="2" t="str">
        <f>"25052811"</f>
        <v>25052811</v>
      </c>
      <c r="C387" s="2" t="str">
        <f>"김대호"</f>
        <v>김대호</v>
      </c>
      <c r="D387" s="2" t="str">
        <f>"M"</f>
        <v>M</v>
      </c>
      <c r="E387" s="2" t="str">
        <f>"19901103"</f>
        <v>19901103</v>
      </c>
      <c r="F387" s="2" t="str">
        <f>"33"</f>
        <v>33</v>
      </c>
      <c r="G387" s="2" t="str">
        <f t="shared" si="81"/>
        <v>E78660</v>
      </c>
      <c r="H387" s="2" t="str">
        <f t="shared" si="82"/>
        <v>가톨릭대학교 서울성모병원</v>
      </c>
      <c r="I387" s="2" t="str">
        <f t="shared" si="79"/>
        <v>특수</v>
      </c>
    </row>
    <row r="388" spans="1:9" x14ac:dyDescent="0.3">
      <c r="A388" s="2" t="str">
        <f t="shared" si="80"/>
        <v>20240801</v>
      </c>
      <c r="B388" s="2" t="str">
        <f>"35054533"</f>
        <v>35054533</v>
      </c>
      <c r="C388" s="2" t="str">
        <f>"장연수"</f>
        <v>장연수</v>
      </c>
      <c r="D388" s="2" t="str">
        <f>"F"</f>
        <v>F</v>
      </c>
      <c r="E388" s="2" t="str">
        <f>"19970718"</f>
        <v>19970718</v>
      </c>
      <c r="F388" s="2" t="str">
        <f>"27"</f>
        <v>27</v>
      </c>
      <c r="G388" s="2" t="str">
        <f t="shared" si="81"/>
        <v>E78660</v>
      </c>
      <c r="H388" s="2" t="str">
        <f t="shared" si="82"/>
        <v>가톨릭대학교 서울성모병원</v>
      </c>
      <c r="I388" s="2" t="str">
        <f t="shared" si="79"/>
        <v>특수</v>
      </c>
    </row>
    <row r="389" spans="1:9" x14ac:dyDescent="0.3">
      <c r="A389" s="2" t="str">
        <f t="shared" si="80"/>
        <v>20240801</v>
      </c>
      <c r="B389" s="2" t="str">
        <f>"37234224"</f>
        <v>37234224</v>
      </c>
      <c r="C389" s="2" t="str">
        <f>"방은지"</f>
        <v>방은지</v>
      </c>
      <c r="D389" s="2" t="str">
        <f>"F"</f>
        <v>F</v>
      </c>
      <c r="E389" s="2" t="str">
        <f>"19990102"</f>
        <v>19990102</v>
      </c>
      <c r="F389" s="2" t="str">
        <f>"25"</f>
        <v>25</v>
      </c>
      <c r="G389" s="2" t="str">
        <f t="shared" si="81"/>
        <v>E78660</v>
      </c>
      <c r="H389" s="2" t="str">
        <f t="shared" si="82"/>
        <v>가톨릭대학교 서울성모병원</v>
      </c>
      <c r="I389" s="2" t="str">
        <f t="shared" si="79"/>
        <v>특수</v>
      </c>
    </row>
    <row r="390" spans="1:9" x14ac:dyDescent="0.3">
      <c r="A390" s="2" t="str">
        <f t="shared" si="80"/>
        <v>20240801</v>
      </c>
      <c r="B390" s="2" t="str">
        <f>"39231500"</f>
        <v>39231500</v>
      </c>
      <c r="C390" s="2" t="str">
        <f>"최대혁"</f>
        <v>최대혁</v>
      </c>
      <c r="D390" s="2" t="str">
        <f>"M"</f>
        <v>M</v>
      </c>
      <c r="E390" s="2" t="str">
        <f>"19980309"</f>
        <v>19980309</v>
      </c>
      <c r="F390" s="2" t="str">
        <f>"26"</f>
        <v>26</v>
      </c>
      <c r="G390" s="2" t="str">
        <f t="shared" si="81"/>
        <v>E78660</v>
      </c>
      <c r="H390" s="2" t="str">
        <f t="shared" si="82"/>
        <v>가톨릭대학교 서울성모병원</v>
      </c>
      <c r="I390" s="2" t="str">
        <f>"배치후"</f>
        <v>배치후</v>
      </c>
    </row>
    <row r="391" spans="1:9" x14ac:dyDescent="0.3">
      <c r="A391" s="2" t="str">
        <f>"20240805"</f>
        <v>20240805</v>
      </c>
      <c r="B391" s="2" t="str">
        <f>"35827066"</f>
        <v>35827066</v>
      </c>
      <c r="C391" s="2" t="str">
        <f>"이주애"</f>
        <v>이주애</v>
      </c>
      <c r="D391" s="2" t="str">
        <f t="shared" ref="D391:D403" si="83">"F"</f>
        <v>F</v>
      </c>
      <c r="E391" s="2" t="str">
        <f>"19980521"</f>
        <v>19980521</v>
      </c>
      <c r="F391" s="2" t="str">
        <f>"26"</f>
        <v>26</v>
      </c>
      <c r="G391" s="2" t="str">
        <f t="shared" si="81"/>
        <v>E78660</v>
      </c>
      <c r="H391" s="2" t="str">
        <f t="shared" si="82"/>
        <v>가톨릭대학교 서울성모병원</v>
      </c>
      <c r="I391" s="2" t="str">
        <f t="shared" ref="I391:I402" si="84">"특수"</f>
        <v>특수</v>
      </c>
    </row>
    <row r="392" spans="1:9" x14ac:dyDescent="0.3">
      <c r="A392" s="2" t="str">
        <f>"20240805"</f>
        <v>20240805</v>
      </c>
      <c r="B392" s="2" t="str">
        <f>"38357114"</f>
        <v>38357114</v>
      </c>
      <c r="C392" s="2" t="str">
        <f>"김혜송"</f>
        <v>김혜송</v>
      </c>
      <c r="D392" s="2" t="str">
        <f t="shared" si="83"/>
        <v>F</v>
      </c>
      <c r="E392" s="2" t="str">
        <f>"19680312"</f>
        <v>19680312</v>
      </c>
      <c r="F392" s="2" t="str">
        <f>"56"</f>
        <v>56</v>
      </c>
      <c r="G392" s="2" t="str">
        <f t="shared" si="81"/>
        <v>E78660</v>
      </c>
      <c r="H392" s="2" t="str">
        <f t="shared" si="82"/>
        <v>가톨릭대학교 서울성모병원</v>
      </c>
      <c r="I392" s="2" t="str">
        <f t="shared" si="84"/>
        <v>특수</v>
      </c>
    </row>
    <row r="393" spans="1:9" x14ac:dyDescent="0.3">
      <c r="A393" s="2" t="str">
        <f t="shared" ref="A393:A399" si="85">"20240806"</f>
        <v>20240806</v>
      </c>
      <c r="B393" s="2" t="str">
        <f>"14185838"</f>
        <v>14185838</v>
      </c>
      <c r="C393" s="2" t="str">
        <f>"김진영"</f>
        <v>김진영</v>
      </c>
      <c r="D393" s="2" t="str">
        <f t="shared" si="83"/>
        <v>F</v>
      </c>
      <c r="E393" s="2" t="str">
        <f>"19791202"</f>
        <v>19791202</v>
      </c>
      <c r="F393" s="2" t="str">
        <f>"44"</f>
        <v>44</v>
      </c>
      <c r="G393" s="2" t="str">
        <f t="shared" si="81"/>
        <v>E78660</v>
      </c>
      <c r="H393" s="2" t="str">
        <f t="shared" si="82"/>
        <v>가톨릭대학교 서울성모병원</v>
      </c>
      <c r="I393" s="2" t="str">
        <f t="shared" si="84"/>
        <v>특수</v>
      </c>
    </row>
    <row r="394" spans="1:9" x14ac:dyDescent="0.3">
      <c r="A394" s="2" t="str">
        <f t="shared" si="85"/>
        <v>20240806</v>
      </c>
      <c r="B394" s="2" t="str">
        <f>"22033231"</f>
        <v>22033231</v>
      </c>
      <c r="C394" s="2" t="str">
        <f>"김민지"</f>
        <v>김민지</v>
      </c>
      <c r="D394" s="2" t="str">
        <f t="shared" si="83"/>
        <v>F</v>
      </c>
      <c r="E394" s="2" t="str">
        <f>"19940608"</f>
        <v>19940608</v>
      </c>
      <c r="F394" s="2" t="str">
        <f>"30"</f>
        <v>30</v>
      </c>
      <c r="G394" s="2" t="str">
        <f t="shared" si="81"/>
        <v>E78660</v>
      </c>
      <c r="H394" s="2" t="str">
        <f t="shared" si="82"/>
        <v>가톨릭대학교 서울성모병원</v>
      </c>
      <c r="I394" s="2" t="str">
        <f t="shared" si="84"/>
        <v>특수</v>
      </c>
    </row>
    <row r="395" spans="1:9" x14ac:dyDescent="0.3">
      <c r="A395" s="2" t="str">
        <f t="shared" si="85"/>
        <v>20240806</v>
      </c>
      <c r="B395" s="2" t="str">
        <f>"23043205"</f>
        <v>23043205</v>
      </c>
      <c r="C395" s="2" t="str">
        <f>"권혁경"</f>
        <v>권혁경</v>
      </c>
      <c r="D395" s="2" t="str">
        <f t="shared" si="83"/>
        <v>F</v>
      </c>
      <c r="E395" s="2" t="str">
        <f>"19880121"</f>
        <v>19880121</v>
      </c>
      <c r="F395" s="2" t="str">
        <f>"36"</f>
        <v>36</v>
      </c>
      <c r="G395" s="2" t="str">
        <f t="shared" si="81"/>
        <v>E78660</v>
      </c>
      <c r="H395" s="2" t="str">
        <f t="shared" si="82"/>
        <v>가톨릭대학교 서울성모병원</v>
      </c>
      <c r="I395" s="2" t="str">
        <f t="shared" si="84"/>
        <v>특수</v>
      </c>
    </row>
    <row r="396" spans="1:9" x14ac:dyDescent="0.3">
      <c r="A396" s="2" t="str">
        <f t="shared" si="85"/>
        <v>20240806</v>
      </c>
      <c r="B396" s="2" t="str">
        <f>"25913213"</f>
        <v>25913213</v>
      </c>
      <c r="C396" s="2" t="str">
        <f>"이민주"</f>
        <v>이민주</v>
      </c>
      <c r="D396" s="2" t="str">
        <f t="shared" si="83"/>
        <v>F</v>
      </c>
      <c r="E396" s="2" t="str">
        <f>"19891217"</f>
        <v>19891217</v>
      </c>
      <c r="F396" s="2" t="str">
        <f>"34"</f>
        <v>34</v>
      </c>
      <c r="G396" s="2" t="str">
        <f t="shared" si="81"/>
        <v>E78660</v>
      </c>
      <c r="H396" s="2" t="str">
        <f t="shared" si="82"/>
        <v>가톨릭대학교 서울성모병원</v>
      </c>
      <c r="I396" s="2" t="str">
        <f t="shared" si="84"/>
        <v>특수</v>
      </c>
    </row>
    <row r="397" spans="1:9" x14ac:dyDescent="0.3">
      <c r="A397" s="2" t="str">
        <f t="shared" si="85"/>
        <v>20240806</v>
      </c>
      <c r="B397" s="2" t="str">
        <f>"27397425"</f>
        <v>27397425</v>
      </c>
      <c r="C397" s="2" t="str">
        <f>"차주혜"</f>
        <v>차주혜</v>
      </c>
      <c r="D397" s="2" t="str">
        <f t="shared" si="83"/>
        <v>F</v>
      </c>
      <c r="E397" s="2" t="str">
        <f>"19950227"</f>
        <v>19950227</v>
      </c>
      <c r="F397" s="2" t="str">
        <f>"29"</f>
        <v>29</v>
      </c>
      <c r="G397" s="2" t="str">
        <f t="shared" si="81"/>
        <v>E78660</v>
      </c>
      <c r="H397" s="2" t="str">
        <f t="shared" si="82"/>
        <v>가톨릭대학교 서울성모병원</v>
      </c>
      <c r="I397" s="2" t="str">
        <f t="shared" si="84"/>
        <v>특수</v>
      </c>
    </row>
    <row r="398" spans="1:9" x14ac:dyDescent="0.3">
      <c r="A398" s="2" t="str">
        <f t="shared" si="85"/>
        <v>20240806</v>
      </c>
      <c r="B398" s="2" t="str">
        <f>"38695031"</f>
        <v>38695031</v>
      </c>
      <c r="C398" s="2" t="str">
        <f>"강신혜"</f>
        <v>강신혜</v>
      </c>
      <c r="D398" s="2" t="str">
        <f t="shared" si="83"/>
        <v>F</v>
      </c>
      <c r="E398" s="2" t="str">
        <f>"19970508"</f>
        <v>19970508</v>
      </c>
      <c r="F398" s="2" t="str">
        <f>"27"</f>
        <v>27</v>
      </c>
      <c r="G398" s="2" t="str">
        <f t="shared" si="81"/>
        <v>E78660</v>
      </c>
      <c r="H398" s="2" t="str">
        <f t="shared" si="82"/>
        <v>가톨릭대학교 서울성모병원</v>
      </c>
      <c r="I398" s="2" t="str">
        <f t="shared" si="84"/>
        <v>특수</v>
      </c>
    </row>
    <row r="399" spans="1:9" x14ac:dyDescent="0.3">
      <c r="A399" s="2" t="str">
        <f t="shared" si="85"/>
        <v>20240806</v>
      </c>
      <c r="B399" s="2" t="str">
        <f>"6253272"</f>
        <v>6253272</v>
      </c>
      <c r="C399" s="2" t="str">
        <f>"강미정"</f>
        <v>강미정</v>
      </c>
      <c r="D399" s="2" t="str">
        <f t="shared" si="83"/>
        <v>F</v>
      </c>
      <c r="E399" s="2" t="str">
        <f>"19670729"</f>
        <v>19670729</v>
      </c>
      <c r="F399" s="2" t="str">
        <f>"57"</f>
        <v>57</v>
      </c>
      <c r="G399" s="2" t="str">
        <f t="shared" si="81"/>
        <v>E78660</v>
      </c>
      <c r="H399" s="2" t="str">
        <f t="shared" si="82"/>
        <v>가톨릭대학교 서울성모병원</v>
      </c>
      <c r="I399" s="2" t="str">
        <f t="shared" si="84"/>
        <v>특수</v>
      </c>
    </row>
    <row r="400" spans="1:9" x14ac:dyDescent="0.3">
      <c r="A400" s="2" t="str">
        <f t="shared" ref="A400:A410" si="86">"20240807"</f>
        <v>20240807</v>
      </c>
      <c r="B400" s="2" t="str">
        <f>"22457702"</f>
        <v>22457702</v>
      </c>
      <c r="C400" s="2" t="str">
        <f>"이지원"</f>
        <v>이지원</v>
      </c>
      <c r="D400" s="2" t="str">
        <f t="shared" si="83"/>
        <v>F</v>
      </c>
      <c r="E400" s="2" t="str">
        <f>"19870826"</f>
        <v>19870826</v>
      </c>
      <c r="F400" s="2" t="str">
        <f>"36"</f>
        <v>36</v>
      </c>
      <c r="G400" s="2" t="str">
        <f t="shared" si="81"/>
        <v>E78660</v>
      </c>
      <c r="H400" s="2" t="str">
        <f t="shared" si="82"/>
        <v>가톨릭대학교 서울성모병원</v>
      </c>
      <c r="I400" s="2" t="str">
        <f t="shared" si="84"/>
        <v>특수</v>
      </c>
    </row>
    <row r="401" spans="1:9" x14ac:dyDescent="0.3">
      <c r="A401" s="2" t="str">
        <f t="shared" si="86"/>
        <v>20240807</v>
      </c>
      <c r="B401" s="2" t="str">
        <f>"23006954"</f>
        <v>23006954</v>
      </c>
      <c r="C401" s="2" t="str">
        <f>"김원자"</f>
        <v>김원자</v>
      </c>
      <c r="D401" s="2" t="str">
        <f t="shared" si="83"/>
        <v>F</v>
      </c>
      <c r="E401" s="2" t="str">
        <f>"19850420"</f>
        <v>19850420</v>
      </c>
      <c r="F401" s="2" t="str">
        <f>"39"</f>
        <v>39</v>
      </c>
      <c r="G401" s="2" t="str">
        <f t="shared" si="81"/>
        <v>E78660</v>
      </c>
      <c r="H401" s="2" t="str">
        <f t="shared" si="82"/>
        <v>가톨릭대학교 서울성모병원</v>
      </c>
      <c r="I401" s="2" t="str">
        <f t="shared" si="84"/>
        <v>특수</v>
      </c>
    </row>
    <row r="402" spans="1:9" x14ac:dyDescent="0.3">
      <c r="A402" s="2" t="str">
        <f t="shared" si="86"/>
        <v>20240807</v>
      </c>
      <c r="B402" s="2" t="str">
        <f>"23675742"</f>
        <v>23675742</v>
      </c>
      <c r="C402" s="2" t="str">
        <f>"김송이"</f>
        <v>김송이</v>
      </c>
      <c r="D402" s="2" t="str">
        <f t="shared" si="83"/>
        <v>F</v>
      </c>
      <c r="E402" s="2" t="str">
        <f>"19850725"</f>
        <v>19850725</v>
      </c>
      <c r="F402" s="2" t="str">
        <f>"39"</f>
        <v>39</v>
      </c>
      <c r="G402" s="2" t="str">
        <f t="shared" si="81"/>
        <v>E78660</v>
      </c>
      <c r="H402" s="2" t="str">
        <f t="shared" si="82"/>
        <v>가톨릭대학교 서울성모병원</v>
      </c>
      <c r="I402" s="2" t="str">
        <f t="shared" si="84"/>
        <v>특수</v>
      </c>
    </row>
    <row r="403" spans="1:9" x14ac:dyDescent="0.3">
      <c r="A403" s="2" t="str">
        <f t="shared" si="86"/>
        <v>20240807</v>
      </c>
      <c r="B403" s="2" t="str">
        <f>"24085273"</f>
        <v>24085273</v>
      </c>
      <c r="C403" s="2" t="str">
        <f>"이미리"</f>
        <v>이미리</v>
      </c>
      <c r="D403" s="2" t="str">
        <f t="shared" si="83"/>
        <v>F</v>
      </c>
      <c r="E403" s="2" t="str">
        <f>"19850729"</f>
        <v>19850729</v>
      </c>
      <c r="F403" s="2" t="str">
        <f>"39"</f>
        <v>39</v>
      </c>
      <c r="G403" s="2" t="str">
        <f t="shared" si="81"/>
        <v>E78660</v>
      </c>
      <c r="H403" s="2" t="str">
        <f t="shared" si="82"/>
        <v>가톨릭대학교 서울성모병원</v>
      </c>
      <c r="I403" s="2" t="str">
        <f>"배치후"</f>
        <v>배치후</v>
      </c>
    </row>
    <row r="404" spans="1:9" x14ac:dyDescent="0.3">
      <c r="A404" s="2" t="str">
        <f t="shared" si="86"/>
        <v>20240807</v>
      </c>
      <c r="B404" s="2" t="str">
        <f>"24142674"</f>
        <v>24142674</v>
      </c>
      <c r="C404" s="2" t="str">
        <f>"임경채"</f>
        <v>임경채</v>
      </c>
      <c r="D404" s="2" t="str">
        <f>"M"</f>
        <v>M</v>
      </c>
      <c r="E404" s="2" t="str">
        <f>"19821204"</f>
        <v>19821204</v>
      </c>
      <c r="F404" s="2" t="str">
        <f>"41"</f>
        <v>41</v>
      </c>
      <c r="G404" s="2" t="str">
        <f t="shared" si="81"/>
        <v>E78660</v>
      </c>
      <c r="H404" s="2" t="str">
        <f t="shared" si="82"/>
        <v>가톨릭대학교 서울성모병원</v>
      </c>
      <c r="I404" s="2" t="str">
        <f>"특수"</f>
        <v>특수</v>
      </c>
    </row>
    <row r="405" spans="1:9" x14ac:dyDescent="0.3">
      <c r="A405" s="2" t="str">
        <f t="shared" si="86"/>
        <v>20240807</v>
      </c>
      <c r="B405" s="2" t="str">
        <f>"25313346"</f>
        <v>25313346</v>
      </c>
      <c r="C405" s="2" t="str">
        <f>"박성지"</f>
        <v>박성지</v>
      </c>
      <c r="D405" s="2" t="str">
        <f>"F"</f>
        <v>F</v>
      </c>
      <c r="E405" s="2" t="str">
        <f>"19910215"</f>
        <v>19910215</v>
      </c>
      <c r="F405" s="2" t="str">
        <f>"33"</f>
        <v>33</v>
      </c>
      <c r="G405" s="2" t="str">
        <f t="shared" si="81"/>
        <v>E78660</v>
      </c>
      <c r="H405" s="2" t="str">
        <f t="shared" si="82"/>
        <v>가톨릭대학교 서울성모병원</v>
      </c>
      <c r="I405" s="2" t="str">
        <f>"특수"</f>
        <v>특수</v>
      </c>
    </row>
    <row r="406" spans="1:9" x14ac:dyDescent="0.3">
      <c r="A406" s="2" t="str">
        <f t="shared" si="86"/>
        <v>20240807</v>
      </c>
      <c r="B406" s="2" t="str">
        <f>"30794982"</f>
        <v>30794982</v>
      </c>
      <c r="C406" s="2" t="str">
        <f>"류다흰"</f>
        <v>류다흰</v>
      </c>
      <c r="D406" s="2" t="str">
        <f>"F"</f>
        <v>F</v>
      </c>
      <c r="E406" s="2" t="str">
        <f>"19980713"</f>
        <v>19980713</v>
      </c>
      <c r="F406" s="2" t="str">
        <f>"26"</f>
        <v>26</v>
      </c>
      <c r="G406" s="2" t="str">
        <f t="shared" si="81"/>
        <v>E78660</v>
      </c>
      <c r="H406" s="2" t="str">
        <f t="shared" si="82"/>
        <v>가톨릭대학교 서울성모병원</v>
      </c>
      <c r="I406" s="2" t="str">
        <f>"특수"</f>
        <v>특수</v>
      </c>
    </row>
    <row r="407" spans="1:9" x14ac:dyDescent="0.3">
      <c r="A407" s="2" t="str">
        <f t="shared" si="86"/>
        <v>20240807</v>
      </c>
      <c r="B407" s="2" t="str">
        <f>"32406285"</f>
        <v>32406285</v>
      </c>
      <c r="C407" s="2" t="str">
        <f>"김덕"</f>
        <v>김덕</v>
      </c>
      <c r="D407" s="2" t="str">
        <f>"M"</f>
        <v>M</v>
      </c>
      <c r="E407" s="2" t="str">
        <f>"19931228"</f>
        <v>19931228</v>
      </c>
      <c r="F407" s="2" t="str">
        <f>"30"</f>
        <v>30</v>
      </c>
      <c r="G407" s="2" t="str">
        <f t="shared" si="81"/>
        <v>E78660</v>
      </c>
      <c r="H407" s="2" t="str">
        <f t="shared" si="82"/>
        <v>가톨릭대학교 서울성모병원</v>
      </c>
      <c r="I407" s="2" t="str">
        <f>"특수"</f>
        <v>특수</v>
      </c>
    </row>
    <row r="408" spans="1:9" x14ac:dyDescent="0.3">
      <c r="A408" s="2" t="str">
        <f t="shared" si="86"/>
        <v>20240807</v>
      </c>
      <c r="B408" s="2" t="str">
        <f>"38122575"</f>
        <v>38122575</v>
      </c>
      <c r="C408" s="2" t="str">
        <f>"김유진"</f>
        <v>김유진</v>
      </c>
      <c r="D408" s="2" t="str">
        <f>"F"</f>
        <v>F</v>
      </c>
      <c r="E408" s="2" t="str">
        <f>"19970203"</f>
        <v>19970203</v>
      </c>
      <c r="F408" s="2" t="str">
        <f>"27"</f>
        <v>27</v>
      </c>
      <c r="G408" s="2" t="str">
        <f t="shared" si="81"/>
        <v>E78660</v>
      </c>
      <c r="H408" s="2" t="str">
        <f t="shared" si="82"/>
        <v>가톨릭대학교 서울성모병원</v>
      </c>
      <c r="I408" s="2" t="str">
        <f>"특수"</f>
        <v>특수</v>
      </c>
    </row>
    <row r="409" spans="1:9" x14ac:dyDescent="0.3">
      <c r="A409" s="2" t="str">
        <f t="shared" si="86"/>
        <v>20240807</v>
      </c>
      <c r="B409" s="2" t="str">
        <f>"39467551"</f>
        <v>39467551</v>
      </c>
      <c r="C409" s="2" t="str">
        <f>"유이창"</f>
        <v>유이창</v>
      </c>
      <c r="D409" s="2" t="str">
        <f>"M"</f>
        <v>M</v>
      </c>
      <c r="E409" s="2" t="str">
        <f>"19980813"</f>
        <v>19980813</v>
      </c>
      <c r="F409" s="2" t="str">
        <f>"26"</f>
        <v>26</v>
      </c>
      <c r="G409" s="2" t="str">
        <f t="shared" si="81"/>
        <v>E78660</v>
      </c>
      <c r="H409" s="2" t="str">
        <f t="shared" si="82"/>
        <v>가톨릭대학교 서울성모병원</v>
      </c>
      <c r="I409" s="2" t="str">
        <f>"배치후"</f>
        <v>배치후</v>
      </c>
    </row>
    <row r="410" spans="1:9" x14ac:dyDescent="0.3">
      <c r="A410" s="2" t="str">
        <f t="shared" si="86"/>
        <v>20240807</v>
      </c>
      <c r="B410" s="2" t="str">
        <f>"8551667"</f>
        <v>8551667</v>
      </c>
      <c r="C410" s="2" t="str">
        <f>"이수청"</f>
        <v>이수청</v>
      </c>
      <c r="D410" s="2" t="str">
        <f>"M"</f>
        <v>M</v>
      </c>
      <c r="E410" s="2" t="str">
        <f>"19680101"</f>
        <v>19680101</v>
      </c>
      <c r="F410" s="2" t="str">
        <f>"56"</f>
        <v>56</v>
      </c>
      <c r="G410" s="2" t="str">
        <f t="shared" si="81"/>
        <v>E78660</v>
      </c>
      <c r="H410" s="2" t="str">
        <f t="shared" si="82"/>
        <v>가톨릭대학교 서울성모병원</v>
      </c>
      <c r="I410" s="2" t="str">
        <f t="shared" ref="I410:I417" si="87">"특수"</f>
        <v>특수</v>
      </c>
    </row>
    <row r="411" spans="1:9" x14ac:dyDescent="0.3">
      <c r="A411" s="2" t="str">
        <f>"20240808"</f>
        <v>20240808</v>
      </c>
      <c r="B411" s="2" t="str">
        <f>"34120581"</f>
        <v>34120581</v>
      </c>
      <c r="C411" s="2" t="str">
        <f>"박미영"</f>
        <v>박미영</v>
      </c>
      <c r="D411" s="2" t="str">
        <f t="shared" ref="D411:D417" si="88">"F"</f>
        <v>F</v>
      </c>
      <c r="E411" s="2" t="str">
        <f>"19880409"</f>
        <v>19880409</v>
      </c>
      <c r="F411" s="2" t="str">
        <f>"36"</f>
        <v>36</v>
      </c>
      <c r="G411" s="2" t="str">
        <f t="shared" si="81"/>
        <v>E78660</v>
      </c>
      <c r="H411" s="2" t="str">
        <f t="shared" si="82"/>
        <v>가톨릭대학교 서울성모병원</v>
      </c>
      <c r="I411" s="2" t="str">
        <f t="shared" si="87"/>
        <v>특수</v>
      </c>
    </row>
    <row r="412" spans="1:9" x14ac:dyDescent="0.3">
      <c r="A412" s="2" t="str">
        <f>"20240808"</f>
        <v>20240808</v>
      </c>
      <c r="B412" s="2" t="str">
        <f>"38928783"</f>
        <v>38928783</v>
      </c>
      <c r="C412" s="2" t="str">
        <f>"김은서"</f>
        <v>김은서</v>
      </c>
      <c r="D412" s="2" t="str">
        <f t="shared" si="88"/>
        <v>F</v>
      </c>
      <c r="E412" s="2" t="str">
        <f>"20000429"</f>
        <v>20000429</v>
      </c>
      <c r="F412" s="2" t="str">
        <f>"24"</f>
        <v>24</v>
      </c>
      <c r="G412" s="2" t="str">
        <f t="shared" si="81"/>
        <v>E78660</v>
      </c>
      <c r="H412" s="2" t="str">
        <f t="shared" si="82"/>
        <v>가톨릭대학교 서울성모병원</v>
      </c>
      <c r="I412" s="2" t="str">
        <f t="shared" si="87"/>
        <v>특수</v>
      </c>
    </row>
    <row r="413" spans="1:9" x14ac:dyDescent="0.3">
      <c r="A413" s="2" t="str">
        <f>"20240812"</f>
        <v>20240812</v>
      </c>
      <c r="B413" s="2" t="str">
        <f>"10114865"</f>
        <v>10114865</v>
      </c>
      <c r="C413" s="2" t="str">
        <f>"김기순"</f>
        <v>김기순</v>
      </c>
      <c r="D413" s="2" t="str">
        <f t="shared" si="88"/>
        <v>F</v>
      </c>
      <c r="E413" s="2" t="str">
        <f>"19741221"</f>
        <v>19741221</v>
      </c>
      <c r="F413" s="2" t="str">
        <f>"49"</f>
        <v>49</v>
      </c>
      <c r="G413" s="2" t="str">
        <f t="shared" si="81"/>
        <v>E78660</v>
      </c>
      <c r="H413" s="2" t="str">
        <f t="shared" si="82"/>
        <v>가톨릭대학교 서울성모병원</v>
      </c>
      <c r="I413" s="2" t="str">
        <f t="shared" si="87"/>
        <v>특수</v>
      </c>
    </row>
    <row r="414" spans="1:9" x14ac:dyDescent="0.3">
      <c r="A414" s="2" t="str">
        <f>"20240812"</f>
        <v>20240812</v>
      </c>
      <c r="B414" s="2" t="str">
        <f>"19194446"</f>
        <v>19194446</v>
      </c>
      <c r="C414" s="2" t="str">
        <f>"신소영"</f>
        <v>신소영</v>
      </c>
      <c r="D414" s="2" t="str">
        <f t="shared" si="88"/>
        <v>F</v>
      </c>
      <c r="E414" s="2" t="str">
        <f>"19840321"</f>
        <v>19840321</v>
      </c>
      <c r="F414" s="2" t="str">
        <f>"40"</f>
        <v>40</v>
      </c>
      <c r="G414" s="2" t="str">
        <f t="shared" si="81"/>
        <v>E78660</v>
      </c>
      <c r="H414" s="2" t="str">
        <f t="shared" si="82"/>
        <v>가톨릭대학교 서울성모병원</v>
      </c>
      <c r="I414" s="2" t="str">
        <f t="shared" si="87"/>
        <v>특수</v>
      </c>
    </row>
    <row r="415" spans="1:9" x14ac:dyDescent="0.3">
      <c r="A415" s="2" t="str">
        <f>"20240812"</f>
        <v>20240812</v>
      </c>
      <c r="B415" s="2" t="str">
        <f>"35017155"</f>
        <v>35017155</v>
      </c>
      <c r="C415" s="2" t="str">
        <f>"송진주"</f>
        <v>송진주</v>
      </c>
      <c r="D415" s="2" t="str">
        <f t="shared" si="88"/>
        <v>F</v>
      </c>
      <c r="E415" s="2" t="str">
        <f>"19950206"</f>
        <v>19950206</v>
      </c>
      <c r="F415" s="2" t="str">
        <f>"29"</f>
        <v>29</v>
      </c>
      <c r="G415" s="2" t="str">
        <f t="shared" si="81"/>
        <v>E78660</v>
      </c>
      <c r="H415" s="2" t="str">
        <f t="shared" si="82"/>
        <v>가톨릭대학교 서울성모병원</v>
      </c>
      <c r="I415" s="2" t="str">
        <f t="shared" si="87"/>
        <v>특수</v>
      </c>
    </row>
    <row r="416" spans="1:9" x14ac:dyDescent="0.3">
      <c r="A416" s="2" t="str">
        <f>"20240812"</f>
        <v>20240812</v>
      </c>
      <c r="B416" s="2" t="str">
        <f>"36152136"</f>
        <v>36152136</v>
      </c>
      <c r="C416" s="2" t="str">
        <f>"김희선"</f>
        <v>김희선</v>
      </c>
      <c r="D416" s="2" t="str">
        <f t="shared" si="88"/>
        <v>F</v>
      </c>
      <c r="E416" s="2" t="str">
        <f>"19981006"</f>
        <v>19981006</v>
      </c>
      <c r="F416" s="2" t="str">
        <f>"25"</f>
        <v>25</v>
      </c>
      <c r="G416" s="2" t="str">
        <f t="shared" si="81"/>
        <v>E78660</v>
      </c>
      <c r="H416" s="2" t="str">
        <f t="shared" si="82"/>
        <v>가톨릭대학교 서울성모병원</v>
      </c>
      <c r="I416" s="2" t="str">
        <f t="shared" si="87"/>
        <v>특수</v>
      </c>
    </row>
    <row r="417" spans="1:9" x14ac:dyDescent="0.3">
      <c r="A417" s="2" t="str">
        <f t="shared" ref="A417:A425" si="89">"20240813"</f>
        <v>20240813</v>
      </c>
      <c r="B417" s="2" t="str">
        <f>"33448495"</f>
        <v>33448495</v>
      </c>
      <c r="C417" s="2" t="str">
        <f>"최다현"</f>
        <v>최다현</v>
      </c>
      <c r="D417" s="2" t="str">
        <f t="shared" si="88"/>
        <v>F</v>
      </c>
      <c r="E417" s="2" t="str">
        <f>"20000301"</f>
        <v>20000301</v>
      </c>
      <c r="F417" s="2" t="str">
        <f>"24"</f>
        <v>24</v>
      </c>
      <c r="G417" s="2" t="str">
        <f t="shared" si="81"/>
        <v>E78660</v>
      </c>
      <c r="H417" s="2" t="str">
        <f t="shared" si="82"/>
        <v>가톨릭대학교 서울성모병원</v>
      </c>
      <c r="I417" s="2" t="str">
        <f t="shared" si="87"/>
        <v>특수</v>
      </c>
    </row>
    <row r="418" spans="1:9" x14ac:dyDescent="0.3">
      <c r="A418" s="2" t="str">
        <f t="shared" si="89"/>
        <v>20240813</v>
      </c>
      <c r="B418" s="2" t="str">
        <f>"35828603"</f>
        <v>35828603</v>
      </c>
      <c r="C418" s="2" t="str">
        <f>"정윤호"</f>
        <v>정윤호</v>
      </c>
      <c r="D418" s="2" t="str">
        <f>"M"</f>
        <v>M</v>
      </c>
      <c r="E418" s="2" t="str">
        <f>"19951220"</f>
        <v>19951220</v>
      </c>
      <c r="F418" s="2" t="str">
        <f>"28"</f>
        <v>28</v>
      </c>
      <c r="G418" s="2" t="str">
        <f t="shared" si="81"/>
        <v>E78660</v>
      </c>
      <c r="H418" s="2" t="str">
        <f t="shared" si="82"/>
        <v>가톨릭대학교 서울성모병원</v>
      </c>
      <c r="I418" s="2" t="str">
        <f>"배치전"</f>
        <v>배치전</v>
      </c>
    </row>
    <row r="419" spans="1:9" x14ac:dyDescent="0.3">
      <c r="A419" s="2" t="str">
        <f t="shared" si="89"/>
        <v>20240813</v>
      </c>
      <c r="B419" s="2" t="str">
        <f>"36184882"</f>
        <v>36184882</v>
      </c>
      <c r="C419" s="2" t="str">
        <f>"김지현"</f>
        <v>김지현</v>
      </c>
      <c r="D419" s="2" t="str">
        <f>"F"</f>
        <v>F</v>
      </c>
      <c r="E419" s="2" t="str">
        <f>"19960204"</f>
        <v>19960204</v>
      </c>
      <c r="F419" s="2" t="str">
        <f>"28"</f>
        <v>28</v>
      </c>
      <c r="G419" s="2" t="str">
        <f t="shared" si="81"/>
        <v>E78660</v>
      </c>
      <c r="H419" s="2" t="str">
        <f t="shared" si="82"/>
        <v>가톨릭대학교 서울성모병원</v>
      </c>
      <c r="I419" s="2" t="str">
        <f>"특수"</f>
        <v>특수</v>
      </c>
    </row>
    <row r="420" spans="1:9" x14ac:dyDescent="0.3">
      <c r="A420" s="2" t="str">
        <f t="shared" si="89"/>
        <v>20240813</v>
      </c>
      <c r="B420" s="2" t="str">
        <f>"36508404"</f>
        <v>36508404</v>
      </c>
      <c r="C420" s="2" t="str">
        <f>"김영찬"</f>
        <v>김영찬</v>
      </c>
      <c r="D420" s="2" t="str">
        <f>"M"</f>
        <v>M</v>
      </c>
      <c r="E420" s="2" t="str">
        <f>"19940409"</f>
        <v>19940409</v>
      </c>
      <c r="F420" s="2" t="str">
        <f>"30"</f>
        <v>30</v>
      </c>
      <c r="G420" s="2" t="str">
        <f t="shared" si="81"/>
        <v>E78660</v>
      </c>
      <c r="H420" s="2" t="str">
        <f t="shared" si="82"/>
        <v>가톨릭대학교 서울성모병원</v>
      </c>
      <c r="I420" s="2" t="str">
        <f>"특수"</f>
        <v>특수</v>
      </c>
    </row>
    <row r="421" spans="1:9" x14ac:dyDescent="0.3">
      <c r="A421" s="2" t="str">
        <f t="shared" si="89"/>
        <v>20240813</v>
      </c>
      <c r="B421" s="2" t="str">
        <f>"37192281"</f>
        <v>37192281</v>
      </c>
      <c r="C421" s="2" t="str">
        <f>"김지아"</f>
        <v>김지아</v>
      </c>
      <c r="D421" s="2" t="str">
        <f t="shared" ref="D421:D426" si="90">"F"</f>
        <v>F</v>
      </c>
      <c r="E421" s="2" t="str">
        <f>"19990619"</f>
        <v>19990619</v>
      </c>
      <c r="F421" s="2" t="str">
        <f>"25"</f>
        <v>25</v>
      </c>
      <c r="G421" s="2" t="str">
        <f t="shared" si="81"/>
        <v>E78660</v>
      </c>
      <c r="H421" s="2" t="str">
        <f t="shared" si="82"/>
        <v>가톨릭대학교 서울성모병원</v>
      </c>
      <c r="I421" s="2" t="str">
        <f>"특수"</f>
        <v>특수</v>
      </c>
    </row>
    <row r="422" spans="1:9" x14ac:dyDescent="0.3">
      <c r="A422" s="2" t="str">
        <f t="shared" si="89"/>
        <v>20240813</v>
      </c>
      <c r="B422" s="2" t="str">
        <f>"39231522"</f>
        <v>39231522</v>
      </c>
      <c r="C422" s="2" t="str">
        <f>"박주은"</f>
        <v>박주은</v>
      </c>
      <c r="D422" s="2" t="str">
        <f t="shared" si="90"/>
        <v>F</v>
      </c>
      <c r="E422" s="2" t="str">
        <f>"20000930"</f>
        <v>20000930</v>
      </c>
      <c r="F422" s="2" t="str">
        <f>"23"</f>
        <v>23</v>
      </c>
      <c r="G422" s="2" t="str">
        <f t="shared" si="81"/>
        <v>E78660</v>
      </c>
      <c r="H422" s="2" t="str">
        <f t="shared" si="82"/>
        <v>가톨릭대학교 서울성모병원</v>
      </c>
      <c r="I422" s="2" t="str">
        <f>"배치후"</f>
        <v>배치후</v>
      </c>
    </row>
    <row r="423" spans="1:9" x14ac:dyDescent="0.3">
      <c r="A423" s="2" t="str">
        <f t="shared" si="89"/>
        <v>20240813</v>
      </c>
      <c r="B423" s="2" t="str">
        <f>"39283463"</f>
        <v>39283463</v>
      </c>
      <c r="C423" s="2" t="str">
        <f>"모나현"</f>
        <v>모나현</v>
      </c>
      <c r="D423" s="2" t="str">
        <f t="shared" si="90"/>
        <v>F</v>
      </c>
      <c r="E423" s="2" t="str">
        <f>"20000224"</f>
        <v>20000224</v>
      </c>
      <c r="F423" s="2" t="str">
        <f>"24"</f>
        <v>24</v>
      </c>
      <c r="G423" s="2" t="str">
        <f t="shared" si="81"/>
        <v>E78660</v>
      </c>
      <c r="H423" s="2" t="str">
        <f t="shared" si="82"/>
        <v>가톨릭대학교 서울성모병원</v>
      </c>
      <c r="I423" s="2" t="str">
        <f>"배치후"</f>
        <v>배치후</v>
      </c>
    </row>
    <row r="424" spans="1:9" x14ac:dyDescent="0.3">
      <c r="A424" s="2" t="str">
        <f t="shared" si="89"/>
        <v>20240813</v>
      </c>
      <c r="B424" s="2" t="str">
        <f>"7948711"</f>
        <v>7948711</v>
      </c>
      <c r="C424" s="2" t="str">
        <f>"박수정"</f>
        <v>박수정</v>
      </c>
      <c r="D424" s="2" t="str">
        <f t="shared" si="90"/>
        <v>F</v>
      </c>
      <c r="E424" s="2" t="str">
        <f>"19690416"</f>
        <v>19690416</v>
      </c>
      <c r="F424" s="2" t="str">
        <f>"55"</f>
        <v>55</v>
      </c>
      <c r="G424" s="2" t="str">
        <f t="shared" si="81"/>
        <v>E78660</v>
      </c>
      <c r="H424" s="2" t="str">
        <f t="shared" si="82"/>
        <v>가톨릭대학교 서울성모병원</v>
      </c>
      <c r="I424" s="2" t="str">
        <f t="shared" ref="I424:I435" si="91">"특수"</f>
        <v>특수</v>
      </c>
    </row>
    <row r="425" spans="1:9" x14ac:dyDescent="0.3">
      <c r="A425" s="2" t="str">
        <f t="shared" si="89"/>
        <v>20240813</v>
      </c>
      <c r="B425" s="2" t="str">
        <f>"8401623"</f>
        <v>8401623</v>
      </c>
      <c r="C425" s="2" t="str">
        <f>"최애란"</f>
        <v>최애란</v>
      </c>
      <c r="D425" s="2" t="str">
        <f t="shared" si="90"/>
        <v>F</v>
      </c>
      <c r="E425" s="2" t="str">
        <f>"19710922"</f>
        <v>19710922</v>
      </c>
      <c r="F425" s="2" t="str">
        <f>"52"</f>
        <v>52</v>
      </c>
      <c r="G425" s="2" t="str">
        <f t="shared" si="81"/>
        <v>E78660</v>
      </c>
      <c r="H425" s="2" t="str">
        <f t="shared" si="82"/>
        <v>가톨릭대학교 서울성모병원</v>
      </c>
      <c r="I425" s="2" t="str">
        <f t="shared" si="91"/>
        <v>특수</v>
      </c>
    </row>
    <row r="426" spans="1:9" x14ac:dyDescent="0.3">
      <c r="A426" s="2" t="str">
        <f t="shared" ref="A426:A440" si="92">"20240814"</f>
        <v>20240814</v>
      </c>
      <c r="B426" s="2" t="str">
        <f>"18372543"</f>
        <v>18372543</v>
      </c>
      <c r="C426" s="2" t="str">
        <f>"정지윤"</f>
        <v>정지윤</v>
      </c>
      <c r="D426" s="2" t="str">
        <f t="shared" si="90"/>
        <v>F</v>
      </c>
      <c r="E426" s="2" t="str">
        <f>"19870810"</f>
        <v>19870810</v>
      </c>
      <c r="F426" s="2" t="str">
        <f>"37"</f>
        <v>37</v>
      </c>
      <c r="G426" s="2" t="str">
        <f t="shared" si="81"/>
        <v>E78660</v>
      </c>
      <c r="H426" s="2" t="str">
        <f t="shared" si="82"/>
        <v>가톨릭대학교 서울성모병원</v>
      </c>
      <c r="I426" s="2" t="str">
        <f t="shared" si="91"/>
        <v>특수</v>
      </c>
    </row>
    <row r="427" spans="1:9" x14ac:dyDescent="0.3">
      <c r="A427" s="2" t="str">
        <f t="shared" si="92"/>
        <v>20240814</v>
      </c>
      <c r="B427" s="2" t="str">
        <f>"18832625"</f>
        <v>18832625</v>
      </c>
      <c r="C427" s="2" t="str">
        <f>"변현석"</f>
        <v>변현석</v>
      </c>
      <c r="D427" s="2" t="str">
        <f>"M"</f>
        <v>M</v>
      </c>
      <c r="E427" s="2" t="str">
        <f>"19810331"</f>
        <v>19810331</v>
      </c>
      <c r="F427" s="2" t="str">
        <f>"43"</f>
        <v>43</v>
      </c>
      <c r="G427" s="2" t="str">
        <f t="shared" si="81"/>
        <v>E78660</v>
      </c>
      <c r="H427" s="2" t="str">
        <f t="shared" si="82"/>
        <v>가톨릭대학교 서울성모병원</v>
      </c>
      <c r="I427" s="2" t="str">
        <f t="shared" si="91"/>
        <v>특수</v>
      </c>
    </row>
    <row r="428" spans="1:9" x14ac:dyDescent="0.3">
      <c r="A428" s="2" t="str">
        <f t="shared" si="92"/>
        <v>20240814</v>
      </c>
      <c r="B428" s="2" t="str">
        <f>"18979396"</f>
        <v>18979396</v>
      </c>
      <c r="C428" s="2" t="str">
        <f>"김미란"</f>
        <v>김미란</v>
      </c>
      <c r="D428" s="2" t="str">
        <f>"F"</f>
        <v>F</v>
      </c>
      <c r="E428" s="2" t="str">
        <f>"19830803"</f>
        <v>19830803</v>
      </c>
      <c r="F428" s="2" t="str">
        <f>"41"</f>
        <v>41</v>
      </c>
      <c r="G428" s="2" t="str">
        <f t="shared" si="81"/>
        <v>E78660</v>
      </c>
      <c r="H428" s="2" t="str">
        <f t="shared" si="82"/>
        <v>가톨릭대학교 서울성모병원</v>
      </c>
      <c r="I428" s="2" t="str">
        <f t="shared" si="91"/>
        <v>특수</v>
      </c>
    </row>
    <row r="429" spans="1:9" x14ac:dyDescent="0.3">
      <c r="A429" s="2" t="str">
        <f t="shared" si="92"/>
        <v>20240814</v>
      </c>
      <c r="B429" s="2" t="str">
        <f>"19674881"</f>
        <v>19674881</v>
      </c>
      <c r="C429" s="2" t="str">
        <f>"김태운"</f>
        <v>김태운</v>
      </c>
      <c r="D429" s="2" t="str">
        <f>"M"</f>
        <v>M</v>
      </c>
      <c r="E429" s="2" t="str">
        <f>"19800406"</f>
        <v>19800406</v>
      </c>
      <c r="F429" s="2" t="str">
        <f>"44"</f>
        <v>44</v>
      </c>
      <c r="G429" s="2" t="str">
        <f t="shared" si="81"/>
        <v>E78660</v>
      </c>
      <c r="H429" s="2" t="str">
        <f t="shared" si="82"/>
        <v>가톨릭대학교 서울성모병원</v>
      </c>
      <c r="I429" s="2" t="str">
        <f t="shared" si="91"/>
        <v>특수</v>
      </c>
    </row>
    <row r="430" spans="1:9" x14ac:dyDescent="0.3">
      <c r="A430" s="2" t="str">
        <f t="shared" si="92"/>
        <v>20240814</v>
      </c>
      <c r="B430" s="2" t="str">
        <f>"21413595"</f>
        <v>21413595</v>
      </c>
      <c r="C430" s="2" t="str">
        <f>"이준호"</f>
        <v>이준호</v>
      </c>
      <c r="D430" s="2" t="str">
        <f>"M"</f>
        <v>M</v>
      </c>
      <c r="E430" s="2" t="str">
        <f>"19760627"</f>
        <v>19760627</v>
      </c>
      <c r="F430" s="2" t="str">
        <f>"48"</f>
        <v>48</v>
      </c>
      <c r="G430" s="2" t="str">
        <f t="shared" si="81"/>
        <v>E78660</v>
      </c>
      <c r="H430" s="2" t="str">
        <f t="shared" si="82"/>
        <v>가톨릭대학교 서울성모병원</v>
      </c>
      <c r="I430" s="2" t="str">
        <f t="shared" si="91"/>
        <v>특수</v>
      </c>
    </row>
    <row r="431" spans="1:9" x14ac:dyDescent="0.3">
      <c r="A431" s="2" t="str">
        <f t="shared" si="92"/>
        <v>20240814</v>
      </c>
      <c r="B431" s="2" t="str">
        <f>"23675874"</f>
        <v>23675874</v>
      </c>
      <c r="C431" s="2" t="str">
        <f>"박소윤"</f>
        <v>박소윤</v>
      </c>
      <c r="D431" s="2" t="str">
        <f>"F"</f>
        <v>F</v>
      </c>
      <c r="E431" s="2" t="str">
        <f>"19920719"</f>
        <v>19920719</v>
      </c>
      <c r="F431" s="2" t="str">
        <f>"32"</f>
        <v>32</v>
      </c>
      <c r="G431" s="2" t="str">
        <f t="shared" si="81"/>
        <v>E78660</v>
      </c>
      <c r="H431" s="2" t="str">
        <f t="shared" si="82"/>
        <v>가톨릭대학교 서울성모병원</v>
      </c>
      <c r="I431" s="2" t="str">
        <f t="shared" si="91"/>
        <v>특수</v>
      </c>
    </row>
    <row r="432" spans="1:9" x14ac:dyDescent="0.3">
      <c r="A432" s="2" t="str">
        <f t="shared" si="92"/>
        <v>20240814</v>
      </c>
      <c r="B432" s="2" t="str">
        <f>"24140446"</f>
        <v>24140446</v>
      </c>
      <c r="C432" s="2" t="str">
        <f>"이숭전"</f>
        <v>이숭전</v>
      </c>
      <c r="D432" s="2" t="str">
        <f>"M"</f>
        <v>M</v>
      </c>
      <c r="E432" s="2" t="str">
        <f>"19821231"</f>
        <v>19821231</v>
      </c>
      <c r="F432" s="2" t="str">
        <f>"41"</f>
        <v>41</v>
      </c>
      <c r="G432" s="2" t="str">
        <f t="shared" si="81"/>
        <v>E78660</v>
      </c>
      <c r="H432" s="2" t="str">
        <f t="shared" si="82"/>
        <v>가톨릭대학교 서울성모병원</v>
      </c>
      <c r="I432" s="2" t="str">
        <f t="shared" si="91"/>
        <v>특수</v>
      </c>
    </row>
    <row r="433" spans="1:9" x14ac:dyDescent="0.3">
      <c r="A433" s="2" t="str">
        <f t="shared" si="92"/>
        <v>20240814</v>
      </c>
      <c r="B433" s="2" t="str">
        <f>"31366793"</f>
        <v>31366793</v>
      </c>
      <c r="C433" s="2" t="str">
        <f>"이지수"</f>
        <v>이지수</v>
      </c>
      <c r="D433" s="2" t="str">
        <f>"M"</f>
        <v>M</v>
      </c>
      <c r="E433" s="2" t="str">
        <f>"19920404"</f>
        <v>19920404</v>
      </c>
      <c r="F433" s="2" t="str">
        <f>"32"</f>
        <v>32</v>
      </c>
      <c r="G433" s="2" t="str">
        <f t="shared" si="81"/>
        <v>E78660</v>
      </c>
      <c r="H433" s="2" t="str">
        <f t="shared" si="82"/>
        <v>가톨릭대학교 서울성모병원</v>
      </c>
      <c r="I433" s="2" t="str">
        <f t="shared" si="91"/>
        <v>특수</v>
      </c>
    </row>
    <row r="434" spans="1:9" x14ac:dyDescent="0.3">
      <c r="A434" s="2" t="str">
        <f t="shared" si="92"/>
        <v>20240814</v>
      </c>
      <c r="B434" s="2" t="str">
        <f>"33099513"</f>
        <v>33099513</v>
      </c>
      <c r="C434" s="2" t="str">
        <f>"송다혜"</f>
        <v>송다혜</v>
      </c>
      <c r="D434" s="2" t="str">
        <f>"F"</f>
        <v>F</v>
      </c>
      <c r="E434" s="2" t="str">
        <f>"19951115"</f>
        <v>19951115</v>
      </c>
      <c r="F434" s="2" t="str">
        <f>"28"</f>
        <v>28</v>
      </c>
      <c r="G434" s="2" t="str">
        <f t="shared" si="81"/>
        <v>E78660</v>
      </c>
      <c r="H434" s="2" t="str">
        <f t="shared" si="82"/>
        <v>가톨릭대학교 서울성모병원</v>
      </c>
      <c r="I434" s="2" t="str">
        <f t="shared" si="91"/>
        <v>특수</v>
      </c>
    </row>
    <row r="435" spans="1:9" x14ac:dyDescent="0.3">
      <c r="A435" s="2" t="str">
        <f t="shared" si="92"/>
        <v>20240814</v>
      </c>
      <c r="B435" s="2" t="str">
        <f>"34160711"</f>
        <v>34160711</v>
      </c>
      <c r="C435" s="2" t="str">
        <f>"공종석"</f>
        <v>공종석</v>
      </c>
      <c r="D435" s="2" t="str">
        <f>"M"</f>
        <v>M</v>
      </c>
      <c r="E435" s="2" t="str">
        <f>"19820907"</f>
        <v>19820907</v>
      </c>
      <c r="F435" s="2" t="str">
        <f>"41"</f>
        <v>41</v>
      </c>
      <c r="G435" s="2" t="str">
        <f t="shared" si="81"/>
        <v>E78660</v>
      </c>
      <c r="H435" s="2" t="str">
        <f t="shared" si="82"/>
        <v>가톨릭대학교 서울성모병원</v>
      </c>
      <c r="I435" s="2" t="str">
        <f t="shared" si="91"/>
        <v>특수</v>
      </c>
    </row>
    <row r="436" spans="1:9" x14ac:dyDescent="0.3">
      <c r="A436" s="2" t="str">
        <f t="shared" si="92"/>
        <v>20240814</v>
      </c>
      <c r="B436" s="2" t="str">
        <f>"38475022"</f>
        <v>38475022</v>
      </c>
      <c r="C436" s="2" t="str">
        <f>"손민희"</f>
        <v>손민희</v>
      </c>
      <c r="D436" s="2" t="str">
        <f>"F"</f>
        <v>F</v>
      </c>
      <c r="E436" s="2" t="str">
        <f>"19910408"</f>
        <v>19910408</v>
      </c>
      <c r="F436" s="2" t="str">
        <f>"33"</f>
        <v>33</v>
      </c>
      <c r="G436" s="2" t="str">
        <f t="shared" si="81"/>
        <v>E78660</v>
      </c>
      <c r="H436" s="2" t="str">
        <f t="shared" si="82"/>
        <v>가톨릭대학교 서울성모병원</v>
      </c>
      <c r="I436" s="2" t="str">
        <f>"배치후"</f>
        <v>배치후</v>
      </c>
    </row>
    <row r="437" spans="1:9" x14ac:dyDescent="0.3">
      <c r="A437" s="2" t="str">
        <f t="shared" si="92"/>
        <v>20240814</v>
      </c>
      <c r="B437" s="2" t="str">
        <f>"38687281"</f>
        <v>38687281</v>
      </c>
      <c r="C437" s="2" t="str">
        <f>"김지연"</f>
        <v>김지연</v>
      </c>
      <c r="D437" s="2" t="str">
        <f>"F"</f>
        <v>F</v>
      </c>
      <c r="E437" s="2" t="str">
        <f>"19950324"</f>
        <v>19950324</v>
      </c>
      <c r="F437" s="2" t="str">
        <f>"29"</f>
        <v>29</v>
      </c>
      <c r="G437" s="2" t="str">
        <f t="shared" si="81"/>
        <v>E78660</v>
      </c>
      <c r="H437" s="2" t="str">
        <f t="shared" si="82"/>
        <v>가톨릭대학교 서울성모병원</v>
      </c>
      <c r="I437" s="2" t="str">
        <f>"배치후"</f>
        <v>배치후</v>
      </c>
    </row>
    <row r="438" spans="1:9" x14ac:dyDescent="0.3">
      <c r="A438" s="2" t="str">
        <f t="shared" si="92"/>
        <v>20240814</v>
      </c>
      <c r="B438" s="2" t="str">
        <f>"40134312"</f>
        <v>40134312</v>
      </c>
      <c r="C438" s="2" t="str">
        <f>"김용호"</f>
        <v>김용호</v>
      </c>
      <c r="D438" s="2" t="str">
        <f>"M"</f>
        <v>M</v>
      </c>
      <c r="E438" s="2" t="str">
        <f>"19950128"</f>
        <v>19950128</v>
      </c>
      <c r="F438" s="2" t="str">
        <f>"29"</f>
        <v>29</v>
      </c>
      <c r="G438" s="2" t="str">
        <f t="shared" si="81"/>
        <v>E78660</v>
      </c>
      <c r="H438" s="2" t="str">
        <f t="shared" si="82"/>
        <v>가톨릭대학교 서울성모병원</v>
      </c>
      <c r="I438" s="2" t="str">
        <f>"배치전"</f>
        <v>배치전</v>
      </c>
    </row>
    <row r="439" spans="1:9" x14ac:dyDescent="0.3">
      <c r="A439" s="2" t="str">
        <f t="shared" si="92"/>
        <v>20240814</v>
      </c>
      <c r="B439" s="2" t="str">
        <f>"4142452"</f>
        <v>4142452</v>
      </c>
      <c r="C439" s="2" t="str">
        <f>"김태강"</f>
        <v>김태강</v>
      </c>
      <c r="D439" s="2" t="str">
        <f>"M"</f>
        <v>M</v>
      </c>
      <c r="E439" s="2" t="str">
        <f>"19730503"</f>
        <v>19730503</v>
      </c>
      <c r="F439" s="2" t="str">
        <f>"51"</f>
        <v>51</v>
      </c>
      <c r="G439" s="2" t="str">
        <f t="shared" si="81"/>
        <v>E78660</v>
      </c>
      <c r="H439" s="2" t="str">
        <f t="shared" si="82"/>
        <v>가톨릭대학교 서울성모병원</v>
      </c>
      <c r="I439" s="2" t="str">
        <f>"특수"</f>
        <v>특수</v>
      </c>
    </row>
    <row r="440" spans="1:9" x14ac:dyDescent="0.3">
      <c r="A440" s="2" t="str">
        <f t="shared" si="92"/>
        <v>20240814</v>
      </c>
      <c r="B440" s="2" t="str">
        <f>"8629939"</f>
        <v>8629939</v>
      </c>
      <c r="C440" s="2" t="str">
        <f>"김미경"</f>
        <v>김미경</v>
      </c>
      <c r="D440" s="2" t="str">
        <f>"F"</f>
        <v>F</v>
      </c>
      <c r="E440" s="2" t="str">
        <f>"19710422"</f>
        <v>19710422</v>
      </c>
      <c r="F440" s="2" t="str">
        <f>"53"</f>
        <v>53</v>
      </c>
      <c r="G440" s="2" t="str">
        <f t="shared" si="81"/>
        <v>E78660</v>
      </c>
      <c r="H440" s="2" t="str">
        <f t="shared" si="82"/>
        <v>가톨릭대학교 서울성모병원</v>
      </c>
      <c r="I440" s="2" t="str">
        <f>"특수"</f>
        <v>특수</v>
      </c>
    </row>
    <row r="441" spans="1:9" x14ac:dyDescent="0.3">
      <c r="A441" s="2" t="str">
        <f t="shared" ref="A441:A450" si="93">"20240820"</f>
        <v>20240820</v>
      </c>
      <c r="B441" s="2" t="str">
        <f>"28981235"</f>
        <v>28981235</v>
      </c>
      <c r="C441" s="2" t="str">
        <f>"김아현"</f>
        <v>김아현</v>
      </c>
      <c r="D441" s="2" t="str">
        <f>"F"</f>
        <v>F</v>
      </c>
      <c r="E441" s="2" t="str">
        <f>"19921129"</f>
        <v>19921129</v>
      </c>
      <c r="F441" s="2" t="str">
        <f>"31"</f>
        <v>31</v>
      </c>
      <c r="G441" s="2" t="str">
        <f t="shared" si="81"/>
        <v>E78660</v>
      </c>
      <c r="H441" s="2" t="str">
        <f t="shared" si="82"/>
        <v>가톨릭대학교 서울성모병원</v>
      </c>
      <c r="I441" s="2" t="str">
        <f>"특수"</f>
        <v>특수</v>
      </c>
    </row>
    <row r="442" spans="1:9" x14ac:dyDescent="0.3">
      <c r="A442" s="2" t="str">
        <f t="shared" si="93"/>
        <v>20240820</v>
      </c>
      <c r="B442" s="2" t="str">
        <f>"32007473"</f>
        <v>32007473</v>
      </c>
      <c r="C442" s="2" t="str">
        <f>"윤해인"</f>
        <v>윤해인</v>
      </c>
      <c r="D442" s="2" t="str">
        <f>"F"</f>
        <v>F</v>
      </c>
      <c r="E442" s="2" t="str">
        <f>"19981214"</f>
        <v>19981214</v>
      </c>
      <c r="F442" s="2" t="str">
        <f>"25"</f>
        <v>25</v>
      </c>
      <c r="G442" s="2" t="str">
        <f t="shared" si="81"/>
        <v>E78660</v>
      </c>
      <c r="H442" s="2" t="str">
        <f t="shared" si="82"/>
        <v>가톨릭대학교 서울성모병원</v>
      </c>
      <c r="I442" s="2" t="str">
        <f>"특수"</f>
        <v>특수</v>
      </c>
    </row>
    <row r="443" spans="1:9" x14ac:dyDescent="0.3">
      <c r="A443" s="2" t="str">
        <f t="shared" si="93"/>
        <v>20240820</v>
      </c>
      <c r="B443" s="2" t="str">
        <f>"33857754"</f>
        <v>33857754</v>
      </c>
      <c r="C443" s="2" t="str">
        <f>"안진수"</f>
        <v>안진수</v>
      </c>
      <c r="D443" s="2" t="str">
        <f>"M"</f>
        <v>M</v>
      </c>
      <c r="E443" s="2" t="str">
        <f>"19930806"</f>
        <v>19930806</v>
      </c>
      <c r="F443" s="2" t="str">
        <f>"31"</f>
        <v>31</v>
      </c>
      <c r="G443" s="2" t="str">
        <f t="shared" si="81"/>
        <v>E78660</v>
      </c>
      <c r="H443" s="2" t="str">
        <f t="shared" si="82"/>
        <v>가톨릭대학교 서울성모병원</v>
      </c>
      <c r="I443" s="2" t="str">
        <f>"배치전"</f>
        <v>배치전</v>
      </c>
    </row>
    <row r="444" spans="1:9" x14ac:dyDescent="0.3">
      <c r="A444" s="2" t="str">
        <f t="shared" si="93"/>
        <v>20240820</v>
      </c>
      <c r="B444" s="2" t="str">
        <f>"37805845"</f>
        <v>37805845</v>
      </c>
      <c r="C444" s="2" t="str">
        <f>"김선주"</f>
        <v>김선주</v>
      </c>
      <c r="D444" s="2" t="str">
        <f>"F"</f>
        <v>F</v>
      </c>
      <c r="E444" s="2" t="str">
        <f>"19720104"</f>
        <v>19720104</v>
      </c>
      <c r="F444" s="2" t="str">
        <f>"52"</f>
        <v>52</v>
      </c>
      <c r="G444" s="2" t="str">
        <f t="shared" si="81"/>
        <v>E78660</v>
      </c>
      <c r="H444" s="2" t="str">
        <f t="shared" si="82"/>
        <v>가톨릭대학교 서울성모병원</v>
      </c>
      <c r="I444" s="2" t="str">
        <f>"특수"</f>
        <v>특수</v>
      </c>
    </row>
    <row r="445" spans="1:9" x14ac:dyDescent="0.3">
      <c r="A445" s="2" t="str">
        <f t="shared" si="93"/>
        <v>20240820</v>
      </c>
      <c r="B445" s="2" t="str">
        <f>"38084376"</f>
        <v>38084376</v>
      </c>
      <c r="C445" s="2" t="str">
        <f>"조하은"</f>
        <v>조하은</v>
      </c>
      <c r="D445" s="2" t="str">
        <f>"F"</f>
        <v>F</v>
      </c>
      <c r="E445" s="2" t="str">
        <f>"19990705"</f>
        <v>19990705</v>
      </c>
      <c r="F445" s="2" t="str">
        <f>"25"</f>
        <v>25</v>
      </c>
      <c r="G445" s="2" t="str">
        <f t="shared" si="81"/>
        <v>E78660</v>
      </c>
      <c r="H445" s="2" t="str">
        <f t="shared" si="82"/>
        <v>가톨릭대학교 서울성모병원</v>
      </c>
      <c r="I445" s="2" t="str">
        <f>"특수"</f>
        <v>특수</v>
      </c>
    </row>
    <row r="446" spans="1:9" x14ac:dyDescent="0.3">
      <c r="A446" s="2" t="str">
        <f t="shared" si="93"/>
        <v>20240820</v>
      </c>
      <c r="B446" s="2" t="str">
        <f>"38236054"</f>
        <v>38236054</v>
      </c>
      <c r="C446" s="2" t="str">
        <f>"강수정"</f>
        <v>강수정</v>
      </c>
      <c r="D446" s="2" t="str">
        <f>"F"</f>
        <v>F</v>
      </c>
      <c r="E446" s="2" t="str">
        <f>"19990810"</f>
        <v>19990810</v>
      </c>
      <c r="F446" s="2" t="str">
        <f>"25"</f>
        <v>25</v>
      </c>
      <c r="G446" s="2" t="str">
        <f t="shared" si="81"/>
        <v>E78660</v>
      </c>
      <c r="H446" s="2" t="str">
        <f t="shared" si="82"/>
        <v>가톨릭대학교 서울성모병원</v>
      </c>
      <c r="I446" s="2" t="str">
        <f>"특수"</f>
        <v>특수</v>
      </c>
    </row>
    <row r="447" spans="1:9" x14ac:dyDescent="0.3">
      <c r="A447" s="2" t="str">
        <f t="shared" si="93"/>
        <v>20240820</v>
      </c>
      <c r="B447" s="2" t="str">
        <f>"39283211"</f>
        <v>39283211</v>
      </c>
      <c r="C447" s="2" t="str">
        <f>"양금주"</f>
        <v>양금주</v>
      </c>
      <c r="D447" s="2" t="str">
        <f>"F"</f>
        <v>F</v>
      </c>
      <c r="E447" s="2" t="str">
        <f>"20000908"</f>
        <v>20000908</v>
      </c>
      <c r="F447" s="2" t="str">
        <f>"23"</f>
        <v>23</v>
      </c>
      <c r="G447" s="2" t="str">
        <f t="shared" si="81"/>
        <v>E78660</v>
      </c>
      <c r="H447" s="2" t="str">
        <f t="shared" si="82"/>
        <v>가톨릭대학교 서울성모병원</v>
      </c>
      <c r="I447" s="2" t="str">
        <f>"배치후"</f>
        <v>배치후</v>
      </c>
    </row>
    <row r="448" spans="1:9" x14ac:dyDescent="0.3">
      <c r="A448" s="2" t="str">
        <f t="shared" si="93"/>
        <v>20240820</v>
      </c>
      <c r="B448" s="2" t="str">
        <f>"39576422"</f>
        <v>39576422</v>
      </c>
      <c r="C448" s="2" t="str">
        <f>"백진영"</f>
        <v>백진영</v>
      </c>
      <c r="D448" s="2" t="str">
        <f>"F"</f>
        <v>F</v>
      </c>
      <c r="E448" s="2" t="str">
        <f>"19970131"</f>
        <v>19970131</v>
      </c>
      <c r="F448" s="2" t="str">
        <f>"27"</f>
        <v>27</v>
      </c>
      <c r="G448" s="2" t="str">
        <f t="shared" si="81"/>
        <v>E78660</v>
      </c>
      <c r="H448" s="2" t="str">
        <f t="shared" si="82"/>
        <v>가톨릭대학교 서울성모병원</v>
      </c>
      <c r="I448" s="2" t="str">
        <f>"배치후"</f>
        <v>배치후</v>
      </c>
    </row>
    <row r="449" spans="1:9" x14ac:dyDescent="0.3">
      <c r="A449" s="2" t="str">
        <f t="shared" si="93"/>
        <v>20240820</v>
      </c>
      <c r="B449" s="2" t="str">
        <f>"40035904"</f>
        <v>40035904</v>
      </c>
      <c r="C449" s="2" t="str">
        <f>"이영규"</f>
        <v>이영규</v>
      </c>
      <c r="D449" s="2" t="str">
        <f>"M"</f>
        <v>M</v>
      </c>
      <c r="E449" s="2" t="str">
        <f>"19970122"</f>
        <v>19970122</v>
      </c>
      <c r="F449" s="2" t="str">
        <f>"27"</f>
        <v>27</v>
      </c>
      <c r="G449" s="2" t="str">
        <f t="shared" si="81"/>
        <v>E78660</v>
      </c>
      <c r="H449" s="2" t="str">
        <f t="shared" si="82"/>
        <v>가톨릭대학교 서울성모병원</v>
      </c>
      <c r="I449" s="2" t="str">
        <f>"배치전"</f>
        <v>배치전</v>
      </c>
    </row>
    <row r="450" spans="1:9" x14ac:dyDescent="0.3">
      <c r="A450" s="2" t="str">
        <f t="shared" si="93"/>
        <v>20240820</v>
      </c>
      <c r="B450" s="2" t="str">
        <f>"40125995"</f>
        <v>40125995</v>
      </c>
      <c r="C450" s="2" t="str">
        <f>"유지영"</f>
        <v>유지영</v>
      </c>
      <c r="D450" s="2" t="str">
        <f>"F"</f>
        <v>F</v>
      </c>
      <c r="E450" s="2" t="str">
        <f>"20000428"</f>
        <v>20000428</v>
      </c>
      <c r="F450" s="2" t="str">
        <f>"24"</f>
        <v>24</v>
      </c>
      <c r="G450" s="2" t="str">
        <f t="shared" ref="G450:G513" si="94">"E78660"</f>
        <v>E78660</v>
      </c>
      <c r="H450" s="2" t="str">
        <f t="shared" ref="H450:H513" si="95">"가톨릭대학교 서울성모병원"</f>
        <v>가톨릭대학교 서울성모병원</v>
      </c>
      <c r="I450" s="2" t="str">
        <f>"배치전"</f>
        <v>배치전</v>
      </c>
    </row>
    <row r="451" spans="1:9" x14ac:dyDescent="0.3">
      <c r="A451" s="2" t="str">
        <f t="shared" ref="A451:A460" si="96">"20240821"</f>
        <v>20240821</v>
      </c>
      <c r="B451" s="2" t="str">
        <f>"12881408"</f>
        <v>12881408</v>
      </c>
      <c r="C451" s="2" t="str">
        <f>"박혜영"</f>
        <v>박혜영</v>
      </c>
      <c r="D451" s="2" t="str">
        <f>"F"</f>
        <v>F</v>
      </c>
      <c r="E451" s="2" t="str">
        <f>"19780213"</f>
        <v>19780213</v>
      </c>
      <c r="F451" s="2" t="str">
        <f>"46"</f>
        <v>46</v>
      </c>
      <c r="G451" s="2" t="str">
        <f t="shared" si="94"/>
        <v>E78660</v>
      </c>
      <c r="H451" s="2" t="str">
        <f t="shared" si="95"/>
        <v>가톨릭대학교 서울성모병원</v>
      </c>
      <c r="I451" s="2" t="str">
        <f t="shared" ref="I451:I457" si="97">"특수"</f>
        <v>특수</v>
      </c>
    </row>
    <row r="452" spans="1:9" x14ac:dyDescent="0.3">
      <c r="A452" s="2" t="str">
        <f t="shared" si="96"/>
        <v>20240821</v>
      </c>
      <c r="B452" s="2" t="str">
        <f>"13862167"</f>
        <v>13862167</v>
      </c>
      <c r="C452" s="2" t="str">
        <f>"김은영"</f>
        <v>김은영</v>
      </c>
      <c r="D452" s="2" t="str">
        <f>"F"</f>
        <v>F</v>
      </c>
      <c r="E452" s="2" t="str">
        <f>"19770717"</f>
        <v>19770717</v>
      </c>
      <c r="F452" s="2" t="str">
        <f>"47"</f>
        <v>47</v>
      </c>
      <c r="G452" s="2" t="str">
        <f t="shared" si="94"/>
        <v>E78660</v>
      </c>
      <c r="H452" s="2" t="str">
        <f t="shared" si="95"/>
        <v>가톨릭대학교 서울성모병원</v>
      </c>
      <c r="I452" s="2" t="str">
        <f t="shared" si="97"/>
        <v>특수</v>
      </c>
    </row>
    <row r="453" spans="1:9" x14ac:dyDescent="0.3">
      <c r="A453" s="2" t="str">
        <f t="shared" si="96"/>
        <v>20240821</v>
      </c>
      <c r="B453" s="2" t="str">
        <f>"13899069"</f>
        <v>13899069</v>
      </c>
      <c r="C453" s="2" t="str">
        <f>"김인섭"</f>
        <v>김인섭</v>
      </c>
      <c r="D453" s="2" t="str">
        <f>"M"</f>
        <v>M</v>
      </c>
      <c r="E453" s="2" t="str">
        <f>"19731120"</f>
        <v>19731120</v>
      </c>
      <c r="F453" s="2" t="str">
        <f>"50"</f>
        <v>50</v>
      </c>
      <c r="G453" s="2" t="str">
        <f t="shared" si="94"/>
        <v>E78660</v>
      </c>
      <c r="H453" s="2" t="str">
        <f t="shared" si="95"/>
        <v>가톨릭대학교 서울성모병원</v>
      </c>
      <c r="I453" s="2" t="str">
        <f t="shared" si="97"/>
        <v>특수</v>
      </c>
    </row>
    <row r="454" spans="1:9" x14ac:dyDescent="0.3">
      <c r="A454" s="2" t="str">
        <f t="shared" si="96"/>
        <v>20240821</v>
      </c>
      <c r="B454" s="2" t="str">
        <f>"1649760"</f>
        <v>1649760</v>
      </c>
      <c r="C454" s="2" t="str">
        <f>"김현정"</f>
        <v>김현정</v>
      </c>
      <c r="D454" s="2" t="str">
        <f>"F"</f>
        <v>F</v>
      </c>
      <c r="E454" s="2" t="str">
        <f>"19760529"</f>
        <v>19760529</v>
      </c>
      <c r="F454" s="2" t="str">
        <f>"48"</f>
        <v>48</v>
      </c>
      <c r="G454" s="2" t="str">
        <f t="shared" si="94"/>
        <v>E78660</v>
      </c>
      <c r="H454" s="2" t="str">
        <f t="shared" si="95"/>
        <v>가톨릭대학교 서울성모병원</v>
      </c>
      <c r="I454" s="2" t="str">
        <f t="shared" si="97"/>
        <v>특수</v>
      </c>
    </row>
    <row r="455" spans="1:9" x14ac:dyDescent="0.3">
      <c r="A455" s="2" t="str">
        <f t="shared" si="96"/>
        <v>20240821</v>
      </c>
      <c r="B455" s="2" t="str">
        <f>"19645485"</f>
        <v>19645485</v>
      </c>
      <c r="C455" s="2" t="str">
        <f>"권선희"</f>
        <v>권선희</v>
      </c>
      <c r="D455" s="2" t="str">
        <f>"F"</f>
        <v>F</v>
      </c>
      <c r="E455" s="2" t="str">
        <f>"19860827"</f>
        <v>19860827</v>
      </c>
      <c r="F455" s="2" t="str">
        <f>"38"</f>
        <v>38</v>
      </c>
      <c r="G455" s="2" t="str">
        <f t="shared" si="94"/>
        <v>E78660</v>
      </c>
      <c r="H455" s="2" t="str">
        <f t="shared" si="95"/>
        <v>가톨릭대학교 서울성모병원</v>
      </c>
      <c r="I455" s="2" t="str">
        <f t="shared" si="97"/>
        <v>특수</v>
      </c>
    </row>
    <row r="456" spans="1:9" x14ac:dyDescent="0.3">
      <c r="A456" s="2" t="str">
        <f t="shared" si="96"/>
        <v>20240821</v>
      </c>
      <c r="B456" s="2" t="str">
        <f>"32627503"</f>
        <v>32627503</v>
      </c>
      <c r="C456" s="2" t="str">
        <f>"박보얀"</f>
        <v>박보얀</v>
      </c>
      <c r="D456" s="2" t="str">
        <f>"F"</f>
        <v>F</v>
      </c>
      <c r="E456" s="2" t="str">
        <f>"19910210"</f>
        <v>19910210</v>
      </c>
      <c r="F456" s="2" t="str">
        <f>"33"</f>
        <v>33</v>
      </c>
      <c r="G456" s="2" t="str">
        <f t="shared" si="94"/>
        <v>E78660</v>
      </c>
      <c r="H456" s="2" t="str">
        <f t="shared" si="95"/>
        <v>가톨릭대학교 서울성모병원</v>
      </c>
      <c r="I456" s="2" t="str">
        <f t="shared" si="97"/>
        <v>특수</v>
      </c>
    </row>
    <row r="457" spans="1:9" x14ac:dyDescent="0.3">
      <c r="A457" s="2" t="str">
        <f t="shared" si="96"/>
        <v>20240821</v>
      </c>
      <c r="B457" s="2" t="str">
        <f>"38084311"</f>
        <v>38084311</v>
      </c>
      <c r="C457" s="2" t="str">
        <f>"김영서"</f>
        <v>김영서</v>
      </c>
      <c r="D457" s="2" t="str">
        <f>"F"</f>
        <v>F</v>
      </c>
      <c r="E457" s="2" t="str">
        <f>"19970506"</f>
        <v>19970506</v>
      </c>
      <c r="F457" s="2" t="str">
        <f>"27"</f>
        <v>27</v>
      </c>
      <c r="G457" s="2" t="str">
        <f t="shared" si="94"/>
        <v>E78660</v>
      </c>
      <c r="H457" s="2" t="str">
        <f t="shared" si="95"/>
        <v>가톨릭대학교 서울성모병원</v>
      </c>
      <c r="I457" s="2" t="str">
        <f t="shared" si="97"/>
        <v>특수</v>
      </c>
    </row>
    <row r="458" spans="1:9" x14ac:dyDescent="0.3">
      <c r="A458" s="2" t="str">
        <f t="shared" si="96"/>
        <v>20240821</v>
      </c>
      <c r="B458" s="2" t="str">
        <f>"39591004"</f>
        <v>39591004</v>
      </c>
      <c r="C458" s="2" t="str">
        <f>"임호진"</f>
        <v>임호진</v>
      </c>
      <c r="D458" s="2" t="str">
        <f>"M"</f>
        <v>M</v>
      </c>
      <c r="E458" s="2" t="str">
        <f>"19981214"</f>
        <v>19981214</v>
      </c>
      <c r="F458" s="2" t="str">
        <f>"25"</f>
        <v>25</v>
      </c>
      <c r="G458" s="2" t="str">
        <f t="shared" si="94"/>
        <v>E78660</v>
      </c>
      <c r="H458" s="2" t="str">
        <f t="shared" si="95"/>
        <v>가톨릭대학교 서울성모병원</v>
      </c>
      <c r="I458" s="2" t="str">
        <f>"배치후"</f>
        <v>배치후</v>
      </c>
    </row>
    <row r="459" spans="1:9" x14ac:dyDescent="0.3">
      <c r="A459" s="2" t="str">
        <f t="shared" si="96"/>
        <v>20240821</v>
      </c>
      <c r="B459" s="2" t="str">
        <f>"39598776"</f>
        <v>39598776</v>
      </c>
      <c r="C459" s="2" t="str">
        <f>"문지훈"</f>
        <v>문지훈</v>
      </c>
      <c r="D459" s="2" t="str">
        <f>"M"</f>
        <v>M</v>
      </c>
      <c r="E459" s="2" t="str">
        <f>"19951012"</f>
        <v>19951012</v>
      </c>
      <c r="F459" s="2" t="str">
        <f>"28"</f>
        <v>28</v>
      </c>
      <c r="G459" s="2" t="str">
        <f t="shared" si="94"/>
        <v>E78660</v>
      </c>
      <c r="H459" s="2" t="str">
        <f t="shared" si="95"/>
        <v>가톨릭대학교 서울성모병원</v>
      </c>
      <c r="I459" s="2" t="str">
        <f>"배치후"</f>
        <v>배치후</v>
      </c>
    </row>
    <row r="460" spans="1:9" x14ac:dyDescent="0.3">
      <c r="A460" s="2" t="str">
        <f t="shared" si="96"/>
        <v>20240821</v>
      </c>
      <c r="B460" s="2" t="str">
        <f>"40126034"</f>
        <v>40126034</v>
      </c>
      <c r="C460" s="2" t="str">
        <f>"김지영"</f>
        <v>김지영</v>
      </c>
      <c r="D460" s="2" t="str">
        <f>"F"</f>
        <v>F</v>
      </c>
      <c r="E460" s="2" t="str">
        <f>"19950125"</f>
        <v>19950125</v>
      </c>
      <c r="F460" s="2" t="str">
        <f>"29"</f>
        <v>29</v>
      </c>
      <c r="G460" s="2" t="str">
        <f t="shared" si="94"/>
        <v>E78660</v>
      </c>
      <c r="H460" s="2" t="str">
        <f t="shared" si="95"/>
        <v>가톨릭대학교 서울성모병원</v>
      </c>
      <c r="I460" s="2" t="str">
        <f>"배치전"</f>
        <v>배치전</v>
      </c>
    </row>
    <row r="461" spans="1:9" x14ac:dyDescent="0.3">
      <c r="A461" s="2" t="str">
        <f t="shared" ref="A461:A467" si="98">"20240826"</f>
        <v>20240826</v>
      </c>
      <c r="B461" s="2" t="str">
        <f>"12597288"</f>
        <v>12597288</v>
      </c>
      <c r="C461" s="2" t="str">
        <f>"조수민"</f>
        <v>조수민</v>
      </c>
      <c r="D461" s="2" t="str">
        <f>"F"</f>
        <v>F</v>
      </c>
      <c r="E461" s="2" t="str">
        <f>"19930403"</f>
        <v>19930403</v>
      </c>
      <c r="F461" s="2" t="str">
        <f>"31"</f>
        <v>31</v>
      </c>
      <c r="G461" s="2" t="str">
        <f t="shared" si="94"/>
        <v>E78660</v>
      </c>
      <c r="H461" s="2" t="str">
        <f t="shared" si="95"/>
        <v>가톨릭대학교 서울성모병원</v>
      </c>
      <c r="I461" s="2" t="str">
        <f t="shared" ref="I461:I466" si="99">"특수"</f>
        <v>특수</v>
      </c>
    </row>
    <row r="462" spans="1:9" x14ac:dyDescent="0.3">
      <c r="A462" s="2" t="str">
        <f t="shared" si="98"/>
        <v>20240826</v>
      </c>
      <c r="B462" s="2" t="str">
        <f>"19888676"</f>
        <v>19888676</v>
      </c>
      <c r="C462" s="2" t="str">
        <f>"최하영"</f>
        <v>최하영</v>
      </c>
      <c r="D462" s="2" t="str">
        <f>"F"</f>
        <v>F</v>
      </c>
      <c r="E462" s="2" t="str">
        <f>"19810419"</f>
        <v>19810419</v>
      </c>
      <c r="F462" s="2" t="str">
        <f>"43"</f>
        <v>43</v>
      </c>
      <c r="G462" s="2" t="str">
        <f t="shared" si="94"/>
        <v>E78660</v>
      </c>
      <c r="H462" s="2" t="str">
        <f t="shared" si="95"/>
        <v>가톨릭대학교 서울성모병원</v>
      </c>
      <c r="I462" s="2" t="str">
        <f t="shared" si="99"/>
        <v>특수</v>
      </c>
    </row>
    <row r="463" spans="1:9" x14ac:dyDescent="0.3">
      <c r="A463" s="2" t="str">
        <f t="shared" si="98"/>
        <v>20240826</v>
      </c>
      <c r="B463" s="2" t="str">
        <f>"21570914"</f>
        <v>21570914</v>
      </c>
      <c r="C463" s="2" t="str">
        <f>"배지숙"</f>
        <v>배지숙</v>
      </c>
      <c r="D463" s="2" t="str">
        <f>"F"</f>
        <v>F</v>
      </c>
      <c r="E463" s="2" t="str">
        <f>"19790320"</f>
        <v>19790320</v>
      </c>
      <c r="F463" s="2" t="str">
        <f>"45"</f>
        <v>45</v>
      </c>
      <c r="G463" s="2" t="str">
        <f t="shared" si="94"/>
        <v>E78660</v>
      </c>
      <c r="H463" s="2" t="str">
        <f t="shared" si="95"/>
        <v>가톨릭대학교 서울성모병원</v>
      </c>
      <c r="I463" s="2" t="str">
        <f t="shared" si="99"/>
        <v>특수</v>
      </c>
    </row>
    <row r="464" spans="1:9" x14ac:dyDescent="0.3">
      <c r="A464" s="2" t="str">
        <f t="shared" si="98"/>
        <v>20240826</v>
      </c>
      <c r="B464" s="2" t="str">
        <f>"23676494"</f>
        <v>23676494</v>
      </c>
      <c r="C464" s="2" t="str">
        <f>"민보람"</f>
        <v>민보람</v>
      </c>
      <c r="D464" s="2" t="str">
        <f>"F"</f>
        <v>F</v>
      </c>
      <c r="E464" s="2" t="str">
        <f>"19871203"</f>
        <v>19871203</v>
      </c>
      <c r="F464" s="2" t="str">
        <f>"36"</f>
        <v>36</v>
      </c>
      <c r="G464" s="2" t="str">
        <f t="shared" si="94"/>
        <v>E78660</v>
      </c>
      <c r="H464" s="2" t="str">
        <f t="shared" si="95"/>
        <v>가톨릭대학교 서울성모병원</v>
      </c>
      <c r="I464" s="2" t="str">
        <f t="shared" si="99"/>
        <v>특수</v>
      </c>
    </row>
    <row r="465" spans="1:9" x14ac:dyDescent="0.3">
      <c r="A465" s="2" t="str">
        <f t="shared" si="98"/>
        <v>20240826</v>
      </c>
      <c r="B465" s="2" t="str">
        <f>"25474151"</f>
        <v>25474151</v>
      </c>
      <c r="C465" s="2" t="str">
        <f>"신현장"</f>
        <v>신현장</v>
      </c>
      <c r="D465" s="2" t="str">
        <f>"M"</f>
        <v>M</v>
      </c>
      <c r="E465" s="2" t="str">
        <f>"19871017"</f>
        <v>19871017</v>
      </c>
      <c r="F465" s="2" t="str">
        <f>"36"</f>
        <v>36</v>
      </c>
      <c r="G465" s="2" t="str">
        <f t="shared" si="94"/>
        <v>E78660</v>
      </c>
      <c r="H465" s="2" t="str">
        <f t="shared" si="95"/>
        <v>가톨릭대학교 서울성모병원</v>
      </c>
      <c r="I465" s="2" t="str">
        <f t="shared" si="99"/>
        <v>특수</v>
      </c>
    </row>
    <row r="466" spans="1:9" x14ac:dyDescent="0.3">
      <c r="A466" s="2" t="str">
        <f t="shared" si="98"/>
        <v>20240826</v>
      </c>
      <c r="B466" s="2" t="str">
        <f>"35740262"</f>
        <v>35740262</v>
      </c>
      <c r="C466" s="2" t="str">
        <f>"이창현"</f>
        <v>이창현</v>
      </c>
      <c r="D466" s="2" t="str">
        <f>"F"</f>
        <v>F</v>
      </c>
      <c r="E466" s="2" t="str">
        <f>"19951118"</f>
        <v>19951118</v>
      </c>
      <c r="F466" s="2" t="str">
        <f>"28"</f>
        <v>28</v>
      </c>
      <c r="G466" s="2" t="str">
        <f t="shared" si="94"/>
        <v>E78660</v>
      </c>
      <c r="H466" s="2" t="str">
        <f t="shared" si="95"/>
        <v>가톨릭대학교 서울성모병원</v>
      </c>
      <c r="I466" s="2" t="str">
        <f t="shared" si="99"/>
        <v>특수</v>
      </c>
    </row>
    <row r="467" spans="1:9" x14ac:dyDescent="0.3">
      <c r="A467" s="2" t="str">
        <f t="shared" si="98"/>
        <v>20240826</v>
      </c>
      <c r="B467" s="2" t="str">
        <f>"39283436"</f>
        <v>39283436</v>
      </c>
      <c r="C467" s="2" t="str">
        <f>"이승효"</f>
        <v>이승효</v>
      </c>
      <c r="D467" s="2" t="str">
        <f>"F"</f>
        <v>F</v>
      </c>
      <c r="E467" s="2" t="str">
        <f>"19970318"</f>
        <v>19970318</v>
      </c>
      <c r="F467" s="2" t="str">
        <f>"27"</f>
        <v>27</v>
      </c>
      <c r="G467" s="2" t="str">
        <f t="shared" si="94"/>
        <v>E78660</v>
      </c>
      <c r="H467" s="2" t="str">
        <f t="shared" si="95"/>
        <v>가톨릭대학교 서울성모병원</v>
      </c>
      <c r="I467" s="2" t="str">
        <f>"배치후"</f>
        <v>배치후</v>
      </c>
    </row>
    <row r="468" spans="1:9" x14ac:dyDescent="0.3">
      <c r="A468" s="2" t="str">
        <f t="shared" ref="A468:A480" si="100">"20240827"</f>
        <v>20240827</v>
      </c>
      <c r="B468" s="2" t="str">
        <f>"10864140"</f>
        <v>10864140</v>
      </c>
      <c r="C468" s="2" t="str">
        <f>"한아연"</f>
        <v>한아연</v>
      </c>
      <c r="D468" s="2" t="str">
        <f>"F"</f>
        <v>F</v>
      </c>
      <c r="E468" s="2" t="str">
        <f>"19751230"</f>
        <v>19751230</v>
      </c>
      <c r="F468" s="2" t="str">
        <f>"48"</f>
        <v>48</v>
      </c>
      <c r="G468" s="2" t="str">
        <f t="shared" si="94"/>
        <v>E78660</v>
      </c>
      <c r="H468" s="2" t="str">
        <f t="shared" si="95"/>
        <v>가톨릭대학교 서울성모병원</v>
      </c>
      <c r="I468" s="2" t="str">
        <f t="shared" ref="I468:I478" si="101">"특수"</f>
        <v>특수</v>
      </c>
    </row>
    <row r="469" spans="1:9" x14ac:dyDescent="0.3">
      <c r="A469" s="2" t="str">
        <f t="shared" si="100"/>
        <v>20240827</v>
      </c>
      <c r="B469" s="2" t="str">
        <f>"12858802"</f>
        <v>12858802</v>
      </c>
      <c r="C469" s="2" t="str">
        <f>"이형남"</f>
        <v>이형남</v>
      </c>
      <c r="D469" s="2" t="str">
        <f>"F"</f>
        <v>F</v>
      </c>
      <c r="E469" s="2" t="str">
        <f>"19740504"</f>
        <v>19740504</v>
      </c>
      <c r="F469" s="2" t="str">
        <f>"50"</f>
        <v>50</v>
      </c>
      <c r="G469" s="2" t="str">
        <f t="shared" si="94"/>
        <v>E78660</v>
      </c>
      <c r="H469" s="2" t="str">
        <f t="shared" si="95"/>
        <v>가톨릭대학교 서울성모병원</v>
      </c>
      <c r="I469" s="2" t="str">
        <f t="shared" si="101"/>
        <v>특수</v>
      </c>
    </row>
    <row r="470" spans="1:9" x14ac:dyDescent="0.3">
      <c r="A470" s="2" t="str">
        <f t="shared" si="100"/>
        <v>20240827</v>
      </c>
      <c r="B470" s="2" t="str">
        <f>"19744320"</f>
        <v>19744320</v>
      </c>
      <c r="C470" s="2" t="str">
        <f>"권오은"</f>
        <v>권오은</v>
      </c>
      <c r="D470" s="2" t="str">
        <f>"F"</f>
        <v>F</v>
      </c>
      <c r="E470" s="2" t="str">
        <f>"19840219"</f>
        <v>19840219</v>
      </c>
      <c r="F470" s="2" t="str">
        <f>"40"</f>
        <v>40</v>
      </c>
      <c r="G470" s="2" t="str">
        <f t="shared" si="94"/>
        <v>E78660</v>
      </c>
      <c r="H470" s="2" t="str">
        <f t="shared" si="95"/>
        <v>가톨릭대학교 서울성모병원</v>
      </c>
      <c r="I470" s="2" t="str">
        <f t="shared" si="101"/>
        <v>특수</v>
      </c>
    </row>
    <row r="471" spans="1:9" x14ac:dyDescent="0.3">
      <c r="A471" s="2" t="str">
        <f t="shared" si="100"/>
        <v>20240827</v>
      </c>
      <c r="B471" s="2" t="str">
        <f>"19855236"</f>
        <v>19855236</v>
      </c>
      <c r="C471" s="2" t="str">
        <f>"유재빈"</f>
        <v>유재빈</v>
      </c>
      <c r="D471" s="2" t="str">
        <f>"M"</f>
        <v>M</v>
      </c>
      <c r="E471" s="2" t="str">
        <f>"19660715"</f>
        <v>19660715</v>
      </c>
      <c r="F471" s="2" t="str">
        <f>"58"</f>
        <v>58</v>
      </c>
      <c r="G471" s="2" t="str">
        <f t="shared" si="94"/>
        <v>E78660</v>
      </c>
      <c r="H471" s="2" t="str">
        <f t="shared" si="95"/>
        <v>가톨릭대학교 서울성모병원</v>
      </c>
      <c r="I471" s="2" t="str">
        <f t="shared" si="101"/>
        <v>특수</v>
      </c>
    </row>
    <row r="472" spans="1:9" x14ac:dyDescent="0.3">
      <c r="A472" s="2" t="str">
        <f t="shared" si="100"/>
        <v>20240827</v>
      </c>
      <c r="B472" s="2" t="str">
        <f>"23676405"</f>
        <v>23676405</v>
      </c>
      <c r="C472" s="2" t="str">
        <f>"서민경"</f>
        <v>서민경</v>
      </c>
      <c r="D472" s="2" t="str">
        <f t="shared" ref="D472:D481" si="102">"F"</f>
        <v>F</v>
      </c>
      <c r="E472" s="2" t="str">
        <f>"19920826"</f>
        <v>19920826</v>
      </c>
      <c r="F472" s="2" t="str">
        <f>"32"</f>
        <v>32</v>
      </c>
      <c r="G472" s="2" t="str">
        <f t="shared" si="94"/>
        <v>E78660</v>
      </c>
      <c r="H472" s="2" t="str">
        <f t="shared" si="95"/>
        <v>가톨릭대학교 서울성모병원</v>
      </c>
      <c r="I472" s="2" t="str">
        <f t="shared" si="101"/>
        <v>특수</v>
      </c>
    </row>
    <row r="473" spans="1:9" x14ac:dyDescent="0.3">
      <c r="A473" s="2" t="str">
        <f t="shared" si="100"/>
        <v>20240827</v>
      </c>
      <c r="B473" s="2" t="str">
        <f>"25152165"</f>
        <v>25152165</v>
      </c>
      <c r="C473" s="2" t="str">
        <f>"박청록"</f>
        <v>박청록</v>
      </c>
      <c r="D473" s="2" t="str">
        <f t="shared" si="102"/>
        <v>F</v>
      </c>
      <c r="E473" s="2" t="str">
        <f>"19850730"</f>
        <v>19850730</v>
      </c>
      <c r="F473" s="2" t="str">
        <f>"39"</f>
        <v>39</v>
      </c>
      <c r="G473" s="2" t="str">
        <f t="shared" si="94"/>
        <v>E78660</v>
      </c>
      <c r="H473" s="2" t="str">
        <f t="shared" si="95"/>
        <v>가톨릭대학교 서울성모병원</v>
      </c>
      <c r="I473" s="2" t="str">
        <f t="shared" si="101"/>
        <v>특수</v>
      </c>
    </row>
    <row r="474" spans="1:9" x14ac:dyDescent="0.3">
      <c r="A474" s="2" t="str">
        <f t="shared" si="100"/>
        <v>20240827</v>
      </c>
      <c r="B474" s="2" t="str">
        <f>"28388704"</f>
        <v>28388704</v>
      </c>
      <c r="C474" s="2" t="str">
        <f>"김다영"</f>
        <v>김다영</v>
      </c>
      <c r="D474" s="2" t="str">
        <f t="shared" si="102"/>
        <v>F</v>
      </c>
      <c r="E474" s="2" t="str">
        <f>"19910721"</f>
        <v>19910721</v>
      </c>
      <c r="F474" s="2" t="str">
        <f>"33"</f>
        <v>33</v>
      </c>
      <c r="G474" s="2" t="str">
        <f t="shared" si="94"/>
        <v>E78660</v>
      </c>
      <c r="H474" s="2" t="str">
        <f t="shared" si="95"/>
        <v>가톨릭대학교 서울성모병원</v>
      </c>
      <c r="I474" s="2" t="str">
        <f t="shared" si="101"/>
        <v>특수</v>
      </c>
    </row>
    <row r="475" spans="1:9" x14ac:dyDescent="0.3">
      <c r="A475" s="2" t="str">
        <f t="shared" si="100"/>
        <v>20240827</v>
      </c>
      <c r="B475" s="2" t="str">
        <f>"30795890"</f>
        <v>30795890</v>
      </c>
      <c r="C475" s="2" t="str">
        <f>"전혜주"</f>
        <v>전혜주</v>
      </c>
      <c r="D475" s="2" t="str">
        <f t="shared" si="102"/>
        <v>F</v>
      </c>
      <c r="E475" s="2" t="str">
        <f>"19960207"</f>
        <v>19960207</v>
      </c>
      <c r="F475" s="2" t="str">
        <f>"28"</f>
        <v>28</v>
      </c>
      <c r="G475" s="2" t="str">
        <f t="shared" si="94"/>
        <v>E78660</v>
      </c>
      <c r="H475" s="2" t="str">
        <f t="shared" si="95"/>
        <v>가톨릭대학교 서울성모병원</v>
      </c>
      <c r="I475" s="2" t="str">
        <f t="shared" si="101"/>
        <v>특수</v>
      </c>
    </row>
    <row r="476" spans="1:9" x14ac:dyDescent="0.3">
      <c r="A476" s="2" t="str">
        <f t="shared" si="100"/>
        <v>20240827</v>
      </c>
      <c r="B476" s="2" t="str">
        <f>"36151881"</f>
        <v>36151881</v>
      </c>
      <c r="C476" s="2" t="str">
        <f>"임혜선"</f>
        <v>임혜선</v>
      </c>
      <c r="D476" s="2" t="str">
        <f t="shared" si="102"/>
        <v>F</v>
      </c>
      <c r="E476" s="2" t="str">
        <f>"19981125"</f>
        <v>19981125</v>
      </c>
      <c r="F476" s="2" t="str">
        <f>"25"</f>
        <v>25</v>
      </c>
      <c r="G476" s="2" t="str">
        <f t="shared" si="94"/>
        <v>E78660</v>
      </c>
      <c r="H476" s="2" t="str">
        <f t="shared" si="95"/>
        <v>가톨릭대학교 서울성모병원</v>
      </c>
      <c r="I476" s="2" t="str">
        <f t="shared" si="101"/>
        <v>특수</v>
      </c>
    </row>
    <row r="477" spans="1:9" x14ac:dyDescent="0.3">
      <c r="A477" s="2" t="str">
        <f t="shared" si="100"/>
        <v>20240827</v>
      </c>
      <c r="B477" s="2" t="str">
        <f>"36849314"</f>
        <v>36849314</v>
      </c>
      <c r="C477" s="2" t="str">
        <f>"김유리"</f>
        <v>김유리</v>
      </c>
      <c r="D477" s="2" t="str">
        <f t="shared" si="102"/>
        <v>F</v>
      </c>
      <c r="E477" s="2" t="str">
        <f>"19990810"</f>
        <v>19990810</v>
      </c>
      <c r="F477" s="2" t="str">
        <f>"25"</f>
        <v>25</v>
      </c>
      <c r="G477" s="2" t="str">
        <f t="shared" si="94"/>
        <v>E78660</v>
      </c>
      <c r="H477" s="2" t="str">
        <f t="shared" si="95"/>
        <v>가톨릭대학교 서울성모병원</v>
      </c>
      <c r="I477" s="2" t="str">
        <f t="shared" si="101"/>
        <v>특수</v>
      </c>
    </row>
    <row r="478" spans="1:9" x14ac:dyDescent="0.3">
      <c r="A478" s="2" t="str">
        <f t="shared" si="100"/>
        <v>20240827</v>
      </c>
      <c r="B478" s="2" t="str">
        <f>"37192225"</f>
        <v>37192225</v>
      </c>
      <c r="C478" s="2" t="str">
        <f>"이정은"</f>
        <v>이정은</v>
      </c>
      <c r="D478" s="2" t="str">
        <f t="shared" si="102"/>
        <v>F</v>
      </c>
      <c r="E478" s="2" t="str">
        <f>"19991031"</f>
        <v>19991031</v>
      </c>
      <c r="F478" s="2" t="str">
        <f>"24"</f>
        <v>24</v>
      </c>
      <c r="G478" s="2" t="str">
        <f t="shared" si="94"/>
        <v>E78660</v>
      </c>
      <c r="H478" s="2" t="str">
        <f t="shared" si="95"/>
        <v>가톨릭대학교 서울성모병원</v>
      </c>
      <c r="I478" s="2" t="str">
        <f t="shared" si="101"/>
        <v>특수</v>
      </c>
    </row>
    <row r="479" spans="1:9" x14ac:dyDescent="0.3">
      <c r="A479" s="2" t="str">
        <f t="shared" si="100"/>
        <v>20240827</v>
      </c>
      <c r="B479" s="2" t="str">
        <f>"39712861"</f>
        <v>39712861</v>
      </c>
      <c r="C479" s="2" t="str">
        <f>"임현경"</f>
        <v>임현경</v>
      </c>
      <c r="D479" s="2" t="str">
        <f t="shared" si="102"/>
        <v>F</v>
      </c>
      <c r="E479" s="2" t="str">
        <f>"20010109"</f>
        <v>20010109</v>
      </c>
      <c r="F479" s="2" t="str">
        <f>"23"</f>
        <v>23</v>
      </c>
      <c r="G479" s="2" t="str">
        <f t="shared" si="94"/>
        <v>E78660</v>
      </c>
      <c r="H479" s="2" t="str">
        <f t="shared" si="95"/>
        <v>가톨릭대학교 서울성모병원</v>
      </c>
      <c r="I479" s="2" t="str">
        <f>"배치전"</f>
        <v>배치전</v>
      </c>
    </row>
    <row r="480" spans="1:9" x14ac:dyDescent="0.3">
      <c r="A480" s="2" t="str">
        <f t="shared" si="100"/>
        <v>20240827</v>
      </c>
      <c r="B480" s="2" t="str">
        <f>"39712892"</f>
        <v>39712892</v>
      </c>
      <c r="C480" s="2" t="str">
        <f>"박주원"</f>
        <v>박주원</v>
      </c>
      <c r="D480" s="2" t="str">
        <f t="shared" si="102"/>
        <v>F</v>
      </c>
      <c r="E480" s="2" t="str">
        <f>"20000628"</f>
        <v>20000628</v>
      </c>
      <c r="F480" s="2" t="str">
        <f>"24"</f>
        <v>24</v>
      </c>
      <c r="G480" s="2" t="str">
        <f t="shared" si="94"/>
        <v>E78660</v>
      </c>
      <c r="H480" s="2" t="str">
        <f t="shared" si="95"/>
        <v>가톨릭대학교 서울성모병원</v>
      </c>
      <c r="I480" s="2" t="str">
        <f>"배치전"</f>
        <v>배치전</v>
      </c>
    </row>
    <row r="481" spans="1:9" x14ac:dyDescent="0.3">
      <c r="A481" s="2" t="str">
        <f t="shared" ref="A481:A494" si="103">"20240828"</f>
        <v>20240828</v>
      </c>
      <c r="B481" s="2" t="str">
        <f>"10075346"</f>
        <v>10075346</v>
      </c>
      <c r="C481" s="2" t="str">
        <f>"김주연"</f>
        <v>김주연</v>
      </c>
      <c r="D481" s="2" t="str">
        <f t="shared" si="102"/>
        <v>F</v>
      </c>
      <c r="E481" s="2" t="str">
        <f>"19750616"</f>
        <v>19750616</v>
      </c>
      <c r="F481" s="2" t="str">
        <f>"49"</f>
        <v>49</v>
      </c>
      <c r="G481" s="2" t="str">
        <f t="shared" si="94"/>
        <v>E78660</v>
      </c>
      <c r="H481" s="2" t="str">
        <f t="shared" si="95"/>
        <v>가톨릭대학교 서울성모병원</v>
      </c>
      <c r="I481" s="2" t="str">
        <f>"배치후"</f>
        <v>배치후</v>
      </c>
    </row>
    <row r="482" spans="1:9" x14ac:dyDescent="0.3">
      <c r="A482" s="2" t="str">
        <f t="shared" si="103"/>
        <v>20240828</v>
      </c>
      <c r="B482" s="2" t="str">
        <f>"15776952"</f>
        <v>15776952</v>
      </c>
      <c r="C482" s="2" t="str">
        <f>"안욱진"</f>
        <v>안욱진</v>
      </c>
      <c r="D482" s="2" t="str">
        <f>"M"</f>
        <v>M</v>
      </c>
      <c r="E482" s="2" t="str">
        <f>"19951224"</f>
        <v>19951224</v>
      </c>
      <c r="F482" s="2" t="str">
        <f>"28"</f>
        <v>28</v>
      </c>
      <c r="G482" s="2" t="str">
        <f t="shared" si="94"/>
        <v>E78660</v>
      </c>
      <c r="H482" s="2" t="str">
        <f t="shared" si="95"/>
        <v>가톨릭대학교 서울성모병원</v>
      </c>
      <c r="I482" s="2" t="str">
        <f t="shared" ref="I482:I487" si="104">"특수"</f>
        <v>특수</v>
      </c>
    </row>
    <row r="483" spans="1:9" x14ac:dyDescent="0.3">
      <c r="A483" s="2" t="str">
        <f t="shared" si="103"/>
        <v>20240828</v>
      </c>
      <c r="B483" s="2" t="str">
        <f>"19950356"</f>
        <v>19950356</v>
      </c>
      <c r="C483" s="2" t="str">
        <f>"김지원"</f>
        <v>김지원</v>
      </c>
      <c r="D483" s="2" t="str">
        <f>"F"</f>
        <v>F</v>
      </c>
      <c r="E483" s="2" t="str">
        <f>"19750501"</f>
        <v>19750501</v>
      </c>
      <c r="F483" s="2" t="str">
        <f>"49"</f>
        <v>49</v>
      </c>
      <c r="G483" s="2" t="str">
        <f t="shared" si="94"/>
        <v>E78660</v>
      </c>
      <c r="H483" s="2" t="str">
        <f t="shared" si="95"/>
        <v>가톨릭대학교 서울성모병원</v>
      </c>
      <c r="I483" s="2" t="str">
        <f t="shared" si="104"/>
        <v>특수</v>
      </c>
    </row>
    <row r="484" spans="1:9" x14ac:dyDescent="0.3">
      <c r="A484" s="2" t="str">
        <f t="shared" si="103"/>
        <v>20240828</v>
      </c>
      <c r="B484" s="2" t="str">
        <f>"21384134"</f>
        <v>21384134</v>
      </c>
      <c r="C484" s="2" t="str">
        <f>"김은혜"</f>
        <v>김은혜</v>
      </c>
      <c r="D484" s="2" t="str">
        <f>"F"</f>
        <v>F</v>
      </c>
      <c r="E484" s="2" t="str">
        <f>"19831211"</f>
        <v>19831211</v>
      </c>
      <c r="F484" s="2" t="str">
        <f>"40"</f>
        <v>40</v>
      </c>
      <c r="G484" s="2" t="str">
        <f t="shared" si="94"/>
        <v>E78660</v>
      </c>
      <c r="H484" s="2" t="str">
        <f t="shared" si="95"/>
        <v>가톨릭대학교 서울성모병원</v>
      </c>
      <c r="I484" s="2" t="str">
        <f t="shared" si="104"/>
        <v>특수</v>
      </c>
    </row>
    <row r="485" spans="1:9" x14ac:dyDescent="0.3">
      <c r="A485" s="2" t="str">
        <f t="shared" si="103"/>
        <v>20240828</v>
      </c>
      <c r="B485" s="2" t="str">
        <f>"25023702"</f>
        <v>25023702</v>
      </c>
      <c r="C485" s="2" t="str">
        <f>"김유경"</f>
        <v>김유경</v>
      </c>
      <c r="D485" s="2" t="str">
        <f>"F"</f>
        <v>F</v>
      </c>
      <c r="E485" s="2" t="str">
        <f>"19890823"</f>
        <v>19890823</v>
      </c>
      <c r="F485" s="2" t="str">
        <f>"35"</f>
        <v>35</v>
      </c>
      <c r="G485" s="2" t="str">
        <f t="shared" si="94"/>
        <v>E78660</v>
      </c>
      <c r="H485" s="2" t="str">
        <f t="shared" si="95"/>
        <v>가톨릭대학교 서울성모병원</v>
      </c>
      <c r="I485" s="2" t="str">
        <f t="shared" si="104"/>
        <v>특수</v>
      </c>
    </row>
    <row r="486" spans="1:9" x14ac:dyDescent="0.3">
      <c r="A486" s="2" t="str">
        <f t="shared" si="103"/>
        <v>20240828</v>
      </c>
      <c r="B486" s="2" t="str">
        <f>"26092366"</f>
        <v>26092366</v>
      </c>
      <c r="C486" s="2" t="str">
        <f>"김석휘"</f>
        <v>김석휘</v>
      </c>
      <c r="D486" s="2" t="str">
        <f>"M"</f>
        <v>M</v>
      </c>
      <c r="E486" s="2" t="str">
        <f>"19851101"</f>
        <v>19851101</v>
      </c>
      <c r="F486" s="2" t="str">
        <f>"38"</f>
        <v>38</v>
      </c>
      <c r="G486" s="2" t="str">
        <f t="shared" si="94"/>
        <v>E78660</v>
      </c>
      <c r="H486" s="2" t="str">
        <f t="shared" si="95"/>
        <v>가톨릭대학교 서울성모병원</v>
      </c>
      <c r="I486" s="2" t="str">
        <f t="shared" si="104"/>
        <v>특수</v>
      </c>
    </row>
    <row r="487" spans="1:9" x14ac:dyDescent="0.3">
      <c r="A487" s="2" t="str">
        <f t="shared" si="103"/>
        <v>20240828</v>
      </c>
      <c r="B487" s="2" t="str">
        <f>"32008421"</f>
        <v>32008421</v>
      </c>
      <c r="C487" s="2" t="str">
        <f>"박수연"</f>
        <v>박수연</v>
      </c>
      <c r="D487" s="2" t="str">
        <f>"F"</f>
        <v>F</v>
      </c>
      <c r="E487" s="2" t="str">
        <f>"19990629"</f>
        <v>19990629</v>
      </c>
      <c r="F487" s="2" t="str">
        <f>"25"</f>
        <v>25</v>
      </c>
      <c r="G487" s="2" t="str">
        <f t="shared" si="94"/>
        <v>E78660</v>
      </c>
      <c r="H487" s="2" t="str">
        <f t="shared" si="95"/>
        <v>가톨릭대학교 서울성모병원</v>
      </c>
      <c r="I487" s="2" t="str">
        <f t="shared" si="104"/>
        <v>특수</v>
      </c>
    </row>
    <row r="488" spans="1:9" x14ac:dyDescent="0.3">
      <c r="A488" s="2" t="str">
        <f t="shared" si="103"/>
        <v>20240828</v>
      </c>
      <c r="B488" s="2" t="str">
        <f>"32406051"</f>
        <v>32406051</v>
      </c>
      <c r="C488" s="2" t="str">
        <f>"이태현"</f>
        <v>이태현</v>
      </c>
      <c r="D488" s="2" t="str">
        <f>"F"</f>
        <v>F</v>
      </c>
      <c r="E488" s="2" t="str">
        <f>"19950321"</f>
        <v>19950321</v>
      </c>
      <c r="F488" s="2" t="str">
        <f>"29"</f>
        <v>29</v>
      </c>
      <c r="G488" s="2" t="str">
        <f t="shared" si="94"/>
        <v>E78660</v>
      </c>
      <c r="H488" s="2" t="str">
        <f t="shared" si="95"/>
        <v>가톨릭대학교 서울성모병원</v>
      </c>
      <c r="I488" s="2" t="str">
        <f>"배치후"</f>
        <v>배치후</v>
      </c>
    </row>
    <row r="489" spans="1:9" x14ac:dyDescent="0.3">
      <c r="A489" s="2" t="str">
        <f t="shared" si="103"/>
        <v>20240828</v>
      </c>
      <c r="B489" s="2" t="str">
        <f>"33466054"</f>
        <v>33466054</v>
      </c>
      <c r="C489" s="2" t="str">
        <f>"홍정화"</f>
        <v>홍정화</v>
      </c>
      <c r="D489" s="2" t="str">
        <f>"F"</f>
        <v>F</v>
      </c>
      <c r="E489" s="2" t="str">
        <f>"19961012"</f>
        <v>19961012</v>
      </c>
      <c r="F489" s="2" t="str">
        <f>"27"</f>
        <v>27</v>
      </c>
      <c r="G489" s="2" t="str">
        <f t="shared" si="94"/>
        <v>E78660</v>
      </c>
      <c r="H489" s="2" t="str">
        <f t="shared" si="95"/>
        <v>가톨릭대학교 서울성모병원</v>
      </c>
      <c r="I489" s="2" t="str">
        <f>"특수"</f>
        <v>특수</v>
      </c>
    </row>
    <row r="490" spans="1:9" x14ac:dyDescent="0.3">
      <c r="A490" s="2" t="str">
        <f t="shared" si="103"/>
        <v>20240828</v>
      </c>
      <c r="B490" s="2" t="str">
        <f>"38357105"</f>
        <v>38357105</v>
      </c>
      <c r="C490" s="2" t="str">
        <f>"최형주"</f>
        <v>최형주</v>
      </c>
      <c r="D490" s="2" t="str">
        <f>"F"</f>
        <v>F</v>
      </c>
      <c r="E490" s="2" t="str">
        <f>"19681226"</f>
        <v>19681226</v>
      </c>
      <c r="F490" s="2" t="str">
        <f>"55"</f>
        <v>55</v>
      </c>
      <c r="G490" s="2" t="str">
        <f t="shared" si="94"/>
        <v>E78660</v>
      </c>
      <c r="H490" s="2" t="str">
        <f t="shared" si="95"/>
        <v>가톨릭대학교 서울성모병원</v>
      </c>
      <c r="I490" s="2" t="str">
        <f>"특수"</f>
        <v>특수</v>
      </c>
    </row>
    <row r="491" spans="1:9" x14ac:dyDescent="0.3">
      <c r="A491" s="2" t="str">
        <f t="shared" si="103"/>
        <v>20240828</v>
      </c>
      <c r="B491" s="2" t="str">
        <f>"38589382"</f>
        <v>38589382</v>
      </c>
      <c r="C491" s="2" t="str">
        <f>"최원빈"</f>
        <v>최원빈</v>
      </c>
      <c r="D491" s="2" t="str">
        <f>"M"</f>
        <v>M</v>
      </c>
      <c r="E491" s="2" t="str">
        <f>"19920326"</f>
        <v>19920326</v>
      </c>
      <c r="F491" s="2" t="str">
        <f>"32"</f>
        <v>32</v>
      </c>
      <c r="G491" s="2" t="str">
        <f t="shared" si="94"/>
        <v>E78660</v>
      </c>
      <c r="H491" s="2" t="str">
        <f t="shared" si="95"/>
        <v>가톨릭대학교 서울성모병원</v>
      </c>
      <c r="I491" s="2" t="str">
        <f>"배치후"</f>
        <v>배치후</v>
      </c>
    </row>
    <row r="492" spans="1:9" x14ac:dyDescent="0.3">
      <c r="A492" s="2" t="str">
        <f t="shared" si="103"/>
        <v>20240828</v>
      </c>
      <c r="B492" s="2" t="str">
        <f>"38799873"</f>
        <v>38799873</v>
      </c>
      <c r="C492" s="2" t="str">
        <f>"박서연"</f>
        <v>박서연</v>
      </c>
      <c r="D492" s="2" t="str">
        <f t="shared" ref="D492:D497" si="105">"F"</f>
        <v>F</v>
      </c>
      <c r="E492" s="2" t="str">
        <f>"19971029"</f>
        <v>19971029</v>
      </c>
      <c r="F492" s="2" t="str">
        <f>"26"</f>
        <v>26</v>
      </c>
      <c r="G492" s="2" t="str">
        <f t="shared" si="94"/>
        <v>E78660</v>
      </c>
      <c r="H492" s="2" t="str">
        <f t="shared" si="95"/>
        <v>가톨릭대학교 서울성모병원</v>
      </c>
      <c r="I492" s="2" t="str">
        <f>"배치후"</f>
        <v>배치후</v>
      </c>
    </row>
    <row r="493" spans="1:9" x14ac:dyDescent="0.3">
      <c r="A493" s="2" t="str">
        <f t="shared" si="103"/>
        <v>20240828</v>
      </c>
      <c r="B493" s="2" t="str">
        <f>"39578982"</f>
        <v>39578982</v>
      </c>
      <c r="C493" s="2" t="str">
        <f>"서혜정"</f>
        <v>서혜정</v>
      </c>
      <c r="D493" s="2" t="str">
        <f t="shared" si="105"/>
        <v>F</v>
      </c>
      <c r="E493" s="2" t="str">
        <f>"19991201"</f>
        <v>19991201</v>
      </c>
      <c r="F493" s="2" t="str">
        <f>"24"</f>
        <v>24</v>
      </c>
      <c r="G493" s="2" t="str">
        <f t="shared" si="94"/>
        <v>E78660</v>
      </c>
      <c r="H493" s="2" t="str">
        <f t="shared" si="95"/>
        <v>가톨릭대학교 서울성모병원</v>
      </c>
      <c r="I493" s="2" t="str">
        <f>"배치후"</f>
        <v>배치후</v>
      </c>
    </row>
    <row r="494" spans="1:9" x14ac:dyDescent="0.3">
      <c r="A494" s="2" t="str">
        <f t="shared" si="103"/>
        <v>20240828</v>
      </c>
      <c r="B494" s="2" t="str">
        <f>"39726004"</f>
        <v>39726004</v>
      </c>
      <c r="C494" s="2" t="str">
        <f>"송유진"</f>
        <v>송유진</v>
      </c>
      <c r="D494" s="2" t="str">
        <f t="shared" si="105"/>
        <v>F</v>
      </c>
      <c r="E494" s="2" t="str">
        <f>"20000925"</f>
        <v>20000925</v>
      </c>
      <c r="F494" s="2" t="str">
        <f>"23"</f>
        <v>23</v>
      </c>
      <c r="G494" s="2" t="str">
        <f t="shared" si="94"/>
        <v>E78660</v>
      </c>
      <c r="H494" s="2" t="str">
        <f t="shared" si="95"/>
        <v>가톨릭대학교 서울성모병원</v>
      </c>
      <c r="I494" s="2" t="str">
        <f>"배치전"</f>
        <v>배치전</v>
      </c>
    </row>
    <row r="495" spans="1:9" x14ac:dyDescent="0.3">
      <c r="A495" s="2" t="str">
        <f t="shared" ref="A495:A503" si="106">"20240829"</f>
        <v>20240829</v>
      </c>
      <c r="B495" s="2" t="str">
        <f>"17576093"</f>
        <v>17576093</v>
      </c>
      <c r="C495" s="2" t="str">
        <f>"구보연"</f>
        <v>구보연</v>
      </c>
      <c r="D495" s="2" t="str">
        <f t="shared" si="105"/>
        <v>F</v>
      </c>
      <c r="E495" s="2" t="str">
        <f>"19860324"</f>
        <v>19860324</v>
      </c>
      <c r="F495" s="2" t="str">
        <f>"38"</f>
        <v>38</v>
      </c>
      <c r="G495" s="2" t="str">
        <f t="shared" si="94"/>
        <v>E78660</v>
      </c>
      <c r="H495" s="2" t="str">
        <f t="shared" si="95"/>
        <v>가톨릭대학교 서울성모병원</v>
      </c>
      <c r="I495" s="2" t="str">
        <f>"배치후"</f>
        <v>배치후</v>
      </c>
    </row>
    <row r="496" spans="1:9" x14ac:dyDescent="0.3">
      <c r="A496" s="2" t="str">
        <f t="shared" si="106"/>
        <v>20240829</v>
      </c>
      <c r="B496" s="2" t="str">
        <f>"17932770"</f>
        <v>17932770</v>
      </c>
      <c r="C496" s="2" t="str">
        <f>"박종희"</f>
        <v>박종희</v>
      </c>
      <c r="D496" s="2" t="str">
        <f t="shared" si="105"/>
        <v>F</v>
      </c>
      <c r="E496" s="2" t="str">
        <f>"19820314"</f>
        <v>19820314</v>
      </c>
      <c r="F496" s="2" t="str">
        <f>"42"</f>
        <v>42</v>
      </c>
      <c r="G496" s="2" t="str">
        <f t="shared" si="94"/>
        <v>E78660</v>
      </c>
      <c r="H496" s="2" t="str">
        <f t="shared" si="95"/>
        <v>가톨릭대학교 서울성모병원</v>
      </c>
      <c r="I496" s="2" t="str">
        <f>"특수"</f>
        <v>특수</v>
      </c>
    </row>
    <row r="497" spans="1:9" x14ac:dyDescent="0.3">
      <c r="A497" s="2" t="str">
        <f t="shared" si="106"/>
        <v>20240829</v>
      </c>
      <c r="B497" s="2" t="str">
        <f>"18697647"</f>
        <v>18697647</v>
      </c>
      <c r="C497" s="2" t="str">
        <f>"이민정"</f>
        <v>이민정</v>
      </c>
      <c r="D497" s="2" t="str">
        <f t="shared" si="105"/>
        <v>F</v>
      </c>
      <c r="E497" s="2" t="str">
        <f>"19850726"</f>
        <v>19850726</v>
      </c>
      <c r="F497" s="2" t="str">
        <f>"39"</f>
        <v>39</v>
      </c>
      <c r="G497" s="2" t="str">
        <f t="shared" si="94"/>
        <v>E78660</v>
      </c>
      <c r="H497" s="2" t="str">
        <f t="shared" si="95"/>
        <v>가톨릭대학교 서울성모병원</v>
      </c>
      <c r="I497" s="2" t="str">
        <f>"특수"</f>
        <v>특수</v>
      </c>
    </row>
    <row r="498" spans="1:9" x14ac:dyDescent="0.3">
      <c r="A498" s="2" t="str">
        <f t="shared" si="106"/>
        <v>20240829</v>
      </c>
      <c r="B498" s="2" t="str">
        <f>"19515032"</f>
        <v>19515032</v>
      </c>
      <c r="C498" s="2" t="str">
        <f>"신동호"</f>
        <v>신동호</v>
      </c>
      <c r="D498" s="2" t="str">
        <f>"M"</f>
        <v>M</v>
      </c>
      <c r="E498" s="2" t="str">
        <f>"19820519"</f>
        <v>19820519</v>
      </c>
      <c r="F498" s="2" t="str">
        <f>"42"</f>
        <v>42</v>
      </c>
      <c r="G498" s="2" t="str">
        <f t="shared" si="94"/>
        <v>E78660</v>
      </c>
      <c r="H498" s="2" t="str">
        <f t="shared" si="95"/>
        <v>가톨릭대학교 서울성모병원</v>
      </c>
      <c r="I498" s="2" t="str">
        <f>"특수"</f>
        <v>특수</v>
      </c>
    </row>
    <row r="499" spans="1:9" x14ac:dyDescent="0.3">
      <c r="A499" s="2" t="str">
        <f t="shared" si="106"/>
        <v>20240829</v>
      </c>
      <c r="B499" s="2" t="str">
        <f>"21414271"</f>
        <v>21414271</v>
      </c>
      <c r="C499" s="2" t="str">
        <f>"김유경"</f>
        <v>김유경</v>
      </c>
      <c r="D499" s="2" t="str">
        <f t="shared" ref="D499:D507" si="107">"F"</f>
        <v>F</v>
      </c>
      <c r="E499" s="2" t="str">
        <f>"19851015"</f>
        <v>19851015</v>
      </c>
      <c r="F499" s="2" t="str">
        <f>"38"</f>
        <v>38</v>
      </c>
      <c r="G499" s="2" t="str">
        <f t="shared" si="94"/>
        <v>E78660</v>
      </c>
      <c r="H499" s="2" t="str">
        <f t="shared" si="95"/>
        <v>가톨릭대학교 서울성모병원</v>
      </c>
      <c r="I499" s="2" t="str">
        <f>"특수"</f>
        <v>특수</v>
      </c>
    </row>
    <row r="500" spans="1:9" x14ac:dyDescent="0.3">
      <c r="A500" s="2" t="str">
        <f t="shared" si="106"/>
        <v>20240829</v>
      </c>
      <c r="B500" s="2" t="str">
        <f>"21429122"</f>
        <v>21429122</v>
      </c>
      <c r="C500" s="2" t="str">
        <f>"이유리"</f>
        <v>이유리</v>
      </c>
      <c r="D500" s="2" t="str">
        <f t="shared" si="107"/>
        <v>F</v>
      </c>
      <c r="E500" s="2" t="str">
        <f>"19850202"</f>
        <v>19850202</v>
      </c>
      <c r="F500" s="2" t="str">
        <f>"39"</f>
        <v>39</v>
      </c>
      <c r="G500" s="2" t="str">
        <f t="shared" si="94"/>
        <v>E78660</v>
      </c>
      <c r="H500" s="2" t="str">
        <f t="shared" si="95"/>
        <v>가톨릭대학교 서울성모병원</v>
      </c>
      <c r="I500" s="2" t="str">
        <f>"배치후"</f>
        <v>배치후</v>
      </c>
    </row>
    <row r="501" spans="1:9" x14ac:dyDescent="0.3">
      <c r="A501" s="2" t="str">
        <f t="shared" si="106"/>
        <v>20240829</v>
      </c>
      <c r="B501" s="2" t="str">
        <f>"23676042"</f>
        <v>23676042</v>
      </c>
      <c r="C501" s="2" t="str">
        <f>"최영은"</f>
        <v>최영은</v>
      </c>
      <c r="D501" s="2" t="str">
        <f t="shared" si="107"/>
        <v>F</v>
      </c>
      <c r="E501" s="2" t="str">
        <f>"19920918"</f>
        <v>19920918</v>
      </c>
      <c r="F501" s="2" t="str">
        <f>"31"</f>
        <v>31</v>
      </c>
      <c r="G501" s="2" t="str">
        <f t="shared" si="94"/>
        <v>E78660</v>
      </c>
      <c r="H501" s="2" t="str">
        <f t="shared" si="95"/>
        <v>가톨릭대학교 서울성모병원</v>
      </c>
      <c r="I501" s="2" t="str">
        <f t="shared" ref="I501:I532" si="108">"특수"</f>
        <v>특수</v>
      </c>
    </row>
    <row r="502" spans="1:9" x14ac:dyDescent="0.3">
      <c r="A502" s="2" t="str">
        <f t="shared" si="106"/>
        <v>20240829</v>
      </c>
      <c r="B502" s="2" t="str">
        <f>"3457500"</f>
        <v>3457500</v>
      </c>
      <c r="C502" s="2" t="str">
        <f>"박지혜"</f>
        <v>박지혜</v>
      </c>
      <c r="D502" s="2" t="str">
        <f t="shared" si="107"/>
        <v>F</v>
      </c>
      <c r="E502" s="2" t="str">
        <f>"19850626"</f>
        <v>19850626</v>
      </c>
      <c r="F502" s="2" t="str">
        <f>"39"</f>
        <v>39</v>
      </c>
      <c r="G502" s="2" t="str">
        <f t="shared" si="94"/>
        <v>E78660</v>
      </c>
      <c r="H502" s="2" t="str">
        <f t="shared" si="95"/>
        <v>가톨릭대학교 서울성모병원</v>
      </c>
      <c r="I502" s="2" t="str">
        <f t="shared" si="108"/>
        <v>특수</v>
      </c>
    </row>
    <row r="503" spans="1:9" x14ac:dyDescent="0.3">
      <c r="A503" s="2" t="str">
        <f t="shared" si="106"/>
        <v>20240829</v>
      </c>
      <c r="B503" s="2" t="str">
        <f>"34812701"</f>
        <v>34812701</v>
      </c>
      <c r="C503" s="2" t="str">
        <f>"박지은"</f>
        <v>박지은</v>
      </c>
      <c r="D503" s="2" t="str">
        <f t="shared" si="107"/>
        <v>F</v>
      </c>
      <c r="E503" s="2" t="str">
        <f>"19971012"</f>
        <v>19971012</v>
      </c>
      <c r="F503" s="2" t="str">
        <f>"26"</f>
        <v>26</v>
      </c>
      <c r="G503" s="2" t="str">
        <f t="shared" si="94"/>
        <v>E78660</v>
      </c>
      <c r="H503" s="2" t="str">
        <f t="shared" si="95"/>
        <v>가톨릭대학교 서울성모병원</v>
      </c>
      <c r="I503" s="2" t="str">
        <f t="shared" si="108"/>
        <v>특수</v>
      </c>
    </row>
    <row r="504" spans="1:9" x14ac:dyDescent="0.3">
      <c r="A504" s="2" t="str">
        <f>"20240902"</f>
        <v>20240902</v>
      </c>
      <c r="B504" s="2" t="str">
        <f>"10193475"</f>
        <v>10193475</v>
      </c>
      <c r="C504" s="2" t="str">
        <f>"임영경"</f>
        <v>임영경</v>
      </c>
      <c r="D504" s="2" t="str">
        <f t="shared" si="107"/>
        <v>F</v>
      </c>
      <c r="E504" s="2" t="str">
        <f>"19740327"</f>
        <v>19740327</v>
      </c>
      <c r="F504" s="2" t="str">
        <f>"50"</f>
        <v>50</v>
      </c>
      <c r="G504" s="2" t="str">
        <f t="shared" si="94"/>
        <v>E78660</v>
      </c>
      <c r="H504" s="2" t="str">
        <f t="shared" si="95"/>
        <v>가톨릭대학교 서울성모병원</v>
      </c>
      <c r="I504" s="2" t="str">
        <f t="shared" si="108"/>
        <v>특수</v>
      </c>
    </row>
    <row r="505" spans="1:9" x14ac:dyDescent="0.3">
      <c r="A505" s="2" t="str">
        <f>"20240902"</f>
        <v>20240902</v>
      </c>
      <c r="B505" s="2" t="str">
        <f>"15881448"</f>
        <v>15881448</v>
      </c>
      <c r="C505" s="2" t="str">
        <f>"김정은"</f>
        <v>김정은</v>
      </c>
      <c r="D505" s="2" t="str">
        <f t="shared" si="107"/>
        <v>F</v>
      </c>
      <c r="E505" s="2" t="str">
        <f>"19760828"</f>
        <v>19760828</v>
      </c>
      <c r="F505" s="2" t="str">
        <f>"48"</f>
        <v>48</v>
      </c>
      <c r="G505" s="2" t="str">
        <f t="shared" si="94"/>
        <v>E78660</v>
      </c>
      <c r="H505" s="2" t="str">
        <f t="shared" si="95"/>
        <v>가톨릭대학교 서울성모병원</v>
      </c>
      <c r="I505" s="2" t="str">
        <f t="shared" si="108"/>
        <v>특수</v>
      </c>
    </row>
    <row r="506" spans="1:9" x14ac:dyDescent="0.3">
      <c r="A506" s="2" t="str">
        <f>"20240902"</f>
        <v>20240902</v>
      </c>
      <c r="B506" s="2" t="str">
        <f>"24632213"</f>
        <v>24632213</v>
      </c>
      <c r="C506" s="2" t="str">
        <f>"우선미"</f>
        <v>우선미</v>
      </c>
      <c r="D506" s="2" t="str">
        <f t="shared" si="107"/>
        <v>F</v>
      </c>
      <c r="E506" s="2" t="str">
        <f>"19830115"</f>
        <v>19830115</v>
      </c>
      <c r="F506" s="2" t="str">
        <f>"41"</f>
        <v>41</v>
      </c>
      <c r="G506" s="2" t="str">
        <f t="shared" si="94"/>
        <v>E78660</v>
      </c>
      <c r="H506" s="2" t="str">
        <f t="shared" si="95"/>
        <v>가톨릭대학교 서울성모병원</v>
      </c>
      <c r="I506" s="2" t="str">
        <f t="shared" si="108"/>
        <v>특수</v>
      </c>
    </row>
    <row r="507" spans="1:9" x14ac:dyDescent="0.3">
      <c r="A507" s="2" t="str">
        <f>"20240902"</f>
        <v>20240902</v>
      </c>
      <c r="B507" s="2" t="str">
        <f>"28553684"</f>
        <v>28553684</v>
      </c>
      <c r="C507" s="2" t="str">
        <f>"염아현"</f>
        <v>염아현</v>
      </c>
      <c r="D507" s="2" t="str">
        <f t="shared" si="107"/>
        <v>F</v>
      </c>
      <c r="E507" s="2" t="str">
        <f>"19950820"</f>
        <v>19950820</v>
      </c>
      <c r="F507" s="2" t="str">
        <f>"29"</f>
        <v>29</v>
      </c>
      <c r="G507" s="2" t="str">
        <f t="shared" si="94"/>
        <v>E78660</v>
      </c>
      <c r="H507" s="2" t="str">
        <f t="shared" si="95"/>
        <v>가톨릭대학교 서울성모병원</v>
      </c>
      <c r="I507" s="2" t="str">
        <f t="shared" si="108"/>
        <v>특수</v>
      </c>
    </row>
    <row r="508" spans="1:9" x14ac:dyDescent="0.3">
      <c r="A508" s="2" t="str">
        <f>"20240902"</f>
        <v>20240902</v>
      </c>
      <c r="B508" s="2" t="str">
        <f>"32302203"</f>
        <v>32302203</v>
      </c>
      <c r="C508" s="2" t="str">
        <f>"남한솔"</f>
        <v>남한솔</v>
      </c>
      <c r="D508" s="2" t="str">
        <f>"M"</f>
        <v>M</v>
      </c>
      <c r="E508" s="2" t="str">
        <f>"19921010"</f>
        <v>19921010</v>
      </c>
      <c r="F508" s="2" t="str">
        <f>"31"</f>
        <v>31</v>
      </c>
      <c r="G508" s="2" t="str">
        <f t="shared" si="94"/>
        <v>E78660</v>
      </c>
      <c r="H508" s="2" t="str">
        <f t="shared" si="95"/>
        <v>가톨릭대학교 서울성모병원</v>
      </c>
      <c r="I508" s="2" t="str">
        <f t="shared" si="108"/>
        <v>특수</v>
      </c>
    </row>
    <row r="509" spans="1:9" x14ac:dyDescent="0.3">
      <c r="A509" s="2" t="str">
        <f t="shared" ref="A509:A514" si="109">"20240903"</f>
        <v>20240903</v>
      </c>
      <c r="B509" s="2" t="str">
        <f>"21289191"</f>
        <v>21289191</v>
      </c>
      <c r="C509" s="2" t="str">
        <f>"박열매"</f>
        <v>박열매</v>
      </c>
      <c r="D509" s="2" t="str">
        <f t="shared" ref="D509:D514" si="110">"F"</f>
        <v>F</v>
      </c>
      <c r="E509" s="2" t="str">
        <f>"19821022"</f>
        <v>19821022</v>
      </c>
      <c r="F509" s="2" t="str">
        <f>"41"</f>
        <v>41</v>
      </c>
      <c r="G509" s="2" t="str">
        <f t="shared" si="94"/>
        <v>E78660</v>
      </c>
      <c r="H509" s="2" t="str">
        <f t="shared" si="95"/>
        <v>가톨릭대학교 서울성모병원</v>
      </c>
      <c r="I509" s="2" t="str">
        <f t="shared" si="108"/>
        <v>특수</v>
      </c>
    </row>
    <row r="510" spans="1:9" x14ac:dyDescent="0.3">
      <c r="A510" s="2" t="str">
        <f t="shared" si="109"/>
        <v>20240903</v>
      </c>
      <c r="B510" s="2" t="str">
        <f>"21378692"</f>
        <v>21378692</v>
      </c>
      <c r="C510" s="2" t="str">
        <f>"오은주"</f>
        <v>오은주</v>
      </c>
      <c r="D510" s="2" t="str">
        <f t="shared" si="110"/>
        <v>F</v>
      </c>
      <c r="E510" s="2" t="str">
        <f>"19850707"</f>
        <v>19850707</v>
      </c>
      <c r="F510" s="2" t="str">
        <f>"39"</f>
        <v>39</v>
      </c>
      <c r="G510" s="2" t="str">
        <f t="shared" si="94"/>
        <v>E78660</v>
      </c>
      <c r="H510" s="2" t="str">
        <f t="shared" si="95"/>
        <v>가톨릭대학교 서울성모병원</v>
      </c>
      <c r="I510" s="2" t="str">
        <f t="shared" si="108"/>
        <v>특수</v>
      </c>
    </row>
    <row r="511" spans="1:9" x14ac:dyDescent="0.3">
      <c r="A511" s="2" t="str">
        <f t="shared" si="109"/>
        <v>20240903</v>
      </c>
      <c r="B511" s="2" t="str">
        <f>"27711804"</f>
        <v>27711804</v>
      </c>
      <c r="C511" s="2" t="str">
        <f>"권가은"</f>
        <v>권가은</v>
      </c>
      <c r="D511" s="2" t="str">
        <f t="shared" si="110"/>
        <v>F</v>
      </c>
      <c r="E511" s="2" t="str">
        <f>"19920208"</f>
        <v>19920208</v>
      </c>
      <c r="F511" s="2" t="str">
        <f>"32"</f>
        <v>32</v>
      </c>
      <c r="G511" s="2" t="str">
        <f t="shared" si="94"/>
        <v>E78660</v>
      </c>
      <c r="H511" s="2" t="str">
        <f t="shared" si="95"/>
        <v>가톨릭대학교 서울성모병원</v>
      </c>
      <c r="I511" s="2" t="str">
        <f t="shared" si="108"/>
        <v>특수</v>
      </c>
    </row>
    <row r="512" spans="1:9" x14ac:dyDescent="0.3">
      <c r="A512" s="2" t="str">
        <f t="shared" si="109"/>
        <v>20240903</v>
      </c>
      <c r="B512" s="2" t="str">
        <f>"30795442"</f>
        <v>30795442</v>
      </c>
      <c r="C512" s="2" t="str">
        <f>"유정균"</f>
        <v>유정균</v>
      </c>
      <c r="D512" s="2" t="str">
        <f t="shared" si="110"/>
        <v>F</v>
      </c>
      <c r="E512" s="2" t="str">
        <f>"19981211"</f>
        <v>19981211</v>
      </c>
      <c r="F512" s="2" t="str">
        <f>"25"</f>
        <v>25</v>
      </c>
      <c r="G512" s="2" t="str">
        <f t="shared" si="94"/>
        <v>E78660</v>
      </c>
      <c r="H512" s="2" t="str">
        <f t="shared" si="95"/>
        <v>가톨릭대학교 서울성모병원</v>
      </c>
      <c r="I512" s="2" t="str">
        <f t="shared" si="108"/>
        <v>특수</v>
      </c>
    </row>
    <row r="513" spans="1:9" x14ac:dyDescent="0.3">
      <c r="A513" s="2" t="str">
        <f t="shared" si="109"/>
        <v>20240903</v>
      </c>
      <c r="B513" s="2" t="str">
        <f>"9571172"</f>
        <v>9571172</v>
      </c>
      <c r="C513" s="2" t="str">
        <f>"이은자"</f>
        <v>이은자</v>
      </c>
      <c r="D513" s="2" t="str">
        <f t="shared" si="110"/>
        <v>F</v>
      </c>
      <c r="E513" s="2" t="str">
        <f>"19690926"</f>
        <v>19690926</v>
      </c>
      <c r="F513" s="2" t="str">
        <f>"54"</f>
        <v>54</v>
      </c>
      <c r="G513" s="2" t="str">
        <f t="shared" si="94"/>
        <v>E78660</v>
      </c>
      <c r="H513" s="2" t="str">
        <f t="shared" si="95"/>
        <v>가톨릭대학교 서울성모병원</v>
      </c>
      <c r="I513" s="2" t="str">
        <f t="shared" si="108"/>
        <v>특수</v>
      </c>
    </row>
    <row r="514" spans="1:9" x14ac:dyDescent="0.3">
      <c r="A514" s="2" t="str">
        <f t="shared" si="109"/>
        <v>20240903</v>
      </c>
      <c r="B514" s="2" t="str">
        <f>"9631996"</f>
        <v>9631996</v>
      </c>
      <c r="C514" s="2" t="str">
        <f>"석선영"</f>
        <v>석선영</v>
      </c>
      <c r="D514" s="2" t="str">
        <f t="shared" si="110"/>
        <v>F</v>
      </c>
      <c r="E514" s="2" t="str">
        <f>"19730709"</f>
        <v>19730709</v>
      </c>
      <c r="F514" s="2" t="str">
        <f>"51"</f>
        <v>51</v>
      </c>
      <c r="G514" s="2" t="str">
        <f t="shared" ref="G514:G577" si="111">"E78660"</f>
        <v>E78660</v>
      </c>
      <c r="H514" s="2" t="str">
        <f t="shared" ref="H514:H577" si="112">"가톨릭대학교 서울성모병원"</f>
        <v>가톨릭대학교 서울성모병원</v>
      </c>
      <c r="I514" s="2" t="str">
        <f t="shared" si="108"/>
        <v>특수</v>
      </c>
    </row>
    <row r="515" spans="1:9" x14ac:dyDescent="0.3">
      <c r="A515" s="2" t="str">
        <f t="shared" ref="A515:A528" si="113">"20240904"</f>
        <v>20240904</v>
      </c>
      <c r="B515" s="2" t="str">
        <f>"16446595"</f>
        <v>16446595</v>
      </c>
      <c r="C515" s="2" t="str">
        <f>"황삼노"</f>
        <v>황삼노</v>
      </c>
      <c r="D515" s="2" t="str">
        <f>"M"</f>
        <v>M</v>
      </c>
      <c r="E515" s="2" t="str">
        <f>"19750225"</f>
        <v>19750225</v>
      </c>
      <c r="F515" s="2" t="str">
        <f>"49"</f>
        <v>49</v>
      </c>
      <c r="G515" s="2" t="str">
        <f t="shared" si="111"/>
        <v>E78660</v>
      </c>
      <c r="H515" s="2" t="str">
        <f t="shared" si="112"/>
        <v>가톨릭대학교 서울성모병원</v>
      </c>
      <c r="I515" s="2" t="str">
        <f t="shared" si="108"/>
        <v>특수</v>
      </c>
    </row>
    <row r="516" spans="1:9" x14ac:dyDescent="0.3">
      <c r="A516" s="2" t="str">
        <f t="shared" si="113"/>
        <v>20240904</v>
      </c>
      <c r="B516" s="2" t="str">
        <f>"18341108"</f>
        <v>18341108</v>
      </c>
      <c r="C516" s="2" t="str">
        <f>"전지은"</f>
        <v>전지은</v>
      </c>
      <c r="D516" s="2" t="str">
        <f>"F"</f>
        <v>F</v>
      </c>
      <c r="E516" s="2" t="str">
        <f>"19820901"</f>
        <v>19820901</v>
      </c>
      <c r="F516" s="2" t="str">
        <f>"42"</f>
        <v>42</v>
      </c>
      <c r="G516" s="2" t="str">
        <f t="shared" si="111"/>
        <v>E78660</v>
      </c>
      <c r="H516" s="2" t="str">
        <f t="shared" si="112"/>
        <v>가톨릭대학교 서울성모병원</v>
      </c>
      <c r="I516" s="2" t="str">
        <f t="shared" si="108"/>
        <v>특수</v>
      </c>
    </row>
    <row r="517" spans="1:9" x14ac:dyDescent="0.3">
      <c r="A517" s="2" t="str">
        <f t="shared" si="113"/>
        <v>20240904</v>
      </c>
      <c r="B517" s="2" t="str">
        <f>"19027223"</f>
        <v>19027223</v>
      </c>
      <c r="C517" s="2" t="str">
        <f>"이남주"</f>
        <v>이남주</v>
      </c>
      <c r="D517" s="2" t="str">
        <f>"M"</f>
        <v>M</v>
      </c>
      <c r="E517" s="2" t="str">
        <f>"19801026"</f>
        <v>19801026</v>
      </c>
      <c r="F517" s="2" t="str">
        <f>"43"</f>
        <v>43</v>
      </c>
      <c r="G517" s="2" t="str">
        <f t="shared" si="111"/>
        <v>E78660</v>
      </c>
      <c r="H517" s="2" t="str">
        <f t="shared" si="112"/>
        <v>가톨릭대학교 서울성모병원</v>
      </c>
      <c r="I517" s="2" t="str">
        <f t="shared" si="108"/>
        <v>특수</v>
      </c>
    </row>
    <row r="518" spans="1:9" x14ac:dyDescent="0.3">
      <c r="A518" s="2" t="str">
        <f t="shared" si="113"/>
        <v>20240904</v>
      </c>
      <c r="B518" s="2" t="str">
        <f>"19200169"</f>
        <v>19200169</v>
      </c>
      <c r="C518" s="2" t="str">
        <f>"이동기"</f>
        <v>이동기</v>
      </c>
      <c r="D518" s="2" t="str">
        <f>"M"</f>
        <v>M</v>
      </c>
      <c r="E518" s="2" t="str">
        <f>"19791224"</f>
        <v>19791224</v>
      </c>
      <c r="F518" s="2" t="str">
        <f>"44"</f>
        <v>44</v>
      </c>
      <c r="G518" s="2" t="str">
        <f t="shared" si="111"/>
        <v>E78660</v>
      </c>
      <c r="H518" s="2" t="str">
        <f t="shared" si="112"/>
        <v>가톨릭대학교 서울성모병원</v>
      </c>
      <c r="I518" s="2" t="str">
        <f t="shared" si="108"/>
        <v>특수</v>
      </c>
    </row>
    <row r="519" spans="1:9" x14ac:dyDescent="0.3">
      <c r="A519" s="2" t="str">
        <f t="shared" si="113"/>
        <v>20240904</v>
      </c>
      <c r="B519" s="2" t="str">
        <f>"19448520"</f>
        <v>19448520</v>
      </c>
      <c r="C519" s="2" t="str">
        <f>"위수빈"</f>
        <v>위수빈</v>
      </c>
      <c r="D519" s="2" t="str">
        <f>"F"</f>
        <v>F</v>
      </c>
      <c r="E519" s="2" t="str">
        <f>"19851022"</f>
        <v>19851022</v>
      </c>
      <c r="F519" s="2" t="str">
        <f>"38"</f>
        <v>38</v>
      </c>
      <c r="G519" s="2" t="str">
        <f t="shared" si="111"/>
        <v>E78660</v>
      </c>
      <c r="H519" s="2" t="str">
        <f t="shared" si="112"/>
        <v>가톨릭대학교 서울성모병원</v>
      </c>
      <c r="I519" s="2" t="str">
        <f t="shared" si="108"/>
        <v>특수</v>
      </c>
    </row>
    <row r="520" spans="1:9" x14ac:dyDescent="0.3">
      <c r="A520" s="2" t="str">
        <f t="shared" si="113"/>
        <v>20240904</v>
      </c>
      <c r="B520" s="2" t="str">
        <f>"20217386"</f>
        <v>20217386</v>
      </c>
      <c r="C520" s="2" t="str">
        <f>"유승효"</f>
        <v>유승효</v>
      </c>
      <c r="D520" s="2" t="str">
        <f>"M"</f>
        <v>M</v>
      </c>
      <c r="E520" s="2" t="str">
        <f>"19720316"</f>
        <v>19720316</v>
      </c>
      <c r="F520" s="2" t="str">
        <f>"52"</f>
        <v>52</v>
      </c>
      <c r="G520" s="2" t="str">
        <f t="shared" si="111"/>
        <v>E78660</v>
      </c>
      <c r="H520" s="2" t="str">
        <f t="shared" si="112"/>
        <v>가톨릭대학교 서울성모병원</v>
      </c>
      <c r="I520" s="2" t="str">
        <f t="shared" si="108"/>
        <v>특수</v>
      </c>
    </row>
    <row r="521" spans="1:9" x14ac:dyDescent="0.3">
      <c r="A521" s="2" t="str">
        <f t="shared" si="113"/>
        <v>20240904</v>
      </c>
      <c r="B521" s="2" t="str">
        <f>"21241264"</f>
        <v>21241264</v>
      </c>
      <c r="C521" s="2" t="str">
        <f>"최정희"</f>
        <v>최정희</v>
      </c>
      <c r="D521" s="2" t="str">
        <f>"F"</f>
        <v>F</v>
      </c>
      <c r="E521" s="2" t="str">
        <f>"19710127"</f>
        <v>19710127</v>
      </c>
      <c r="F521" s="2" t="str">
        <f>"53"</f>
        <v>53</v>
      </c>
      <c r="G521" s="2" t="str">
        <f t="shared" si="111"/>
        <v>E78660</v>
      </c>
      <c r="H521" s="2" t="str">
        <f t="shared" si="112"/>
        <v>가톨릭대학교 서울성모병원</v>
      </c>
      <c r="I521" s="2" t="str">
        <f t="shared" si="108"/>
        <v>특수</v>
      </c>
    </row>
    <row r="522" spans="1:9" x14ac:dyDescent="0.3">
      <c r="A522" s="2" t="str">
        <f t="shared" si="113"/>
        <v>20240904</v>
      </c>
      <c r="B522" s="2" t="str">
        <f>"22411871"</f>
        <v>22411871</v>
      </c>
      <c r="C522" s="2" t="str">
        <f>"윤현선"</f>
        <v>윤현선</v>
      </c>
      <c r="D522" s="2" t="str">
        <f>"F"</f>
        <v>F</v>
      </c>
      <c r="E522" s="2" t="str">
        <f>"19820519"</f>
        <v>19820519</v>
      </c>
      <c r="F522" s="2" t="str">
        <f>"42"</f>
        <v>42</v>
      </c>
      <c r="G522" s="2" t="str">
        <f t="shared" si="111"/>
        <v>E78660</v>
      </c>
      <c r="H522" s="2" t="str">
        <f t="shared" si="112"/>
        <v>가톨릭대학교 서울성모병원</v>
      </c>
      <c r="I522" s="2" t="str">
        <f t="shared" si="108"/>
        <v>특수</v>
      </c>
    </row>
    <row r="523" spans="1:9" x14ac:dyDescent="0.3">
      <c r="A523" s="2" t="str">
        <f t="shared" si="113"/>
        <v>20240904</v>
      </c>
      <c r="B523" s="2" t="str">
        <f>"23164812"</f>
        <v>23164812</v>
      </c>
      <c r="C523" s="2" t="str">
        <f>"김복진"</f>
        <v>김복진</v>
      </c>
      <c r="D523" s="2" t="str">
        <f>"F"</f>
        <v>F</v>
      </c>
      <c r="E523" s="2" t="str">
        <f>"19870816"</f>
        <v>19870816</v>
      </c>
      <c r="F523" s="2" t="str">
        <f>"37"</f>
        <v>37</v>
      </c>
      <c r="G523" s="2" t="str">
        <f t="shared" si="111"/>
        <v>E78660</v>
      </c>
      <c r="H523" s="2" t="str">
        <f t="shared" si="112"/>
        <v>가톨릭대학교 서울성모병원</v>
      </c>
      <c r="I523" s="2" t="str">
        <f t="shared" si="108"/>
        <v>특수</v>
      </c>
    </row>
    <row r="524" spans="1:9" x14ac:dyDescent="0.3">
      <c r="A524" s="2" t="str">
        <f t="shared" si="113"/>
        <v>20240904</v>
      </c>
      <c r="B524" s="2" t="str">
        <f>"26066900"</f>
        <v>26066900</v>
      </c>
      <c r="C524" s="2" t="str">
        <f>"방지윤"</f>
        <v>방지윤</v>
      </c>
      <c r="D524" s="2" t="str">
        <f>"F"</f>
        <v>F</v>
      </c>
      <c r="E524" s="2" t="str">
        <f>"19891020"</f>
        <v>19891020</v>
      </c>
      <c r="F524" s="2" t="str">
        <f>"34"</f>
        <v>34</v>
      </c>
      <c r="G524" s="2" t="str">
        <f t="shared" si="111"/>
        <v>E78660</v>
      </c>
      <c r="H524" s="2" t="str">
        <f t="shared" si="112"/>
        <v>가톨릭대학교 서울성모병원</v>
      </c>
      <c r="I524" s="2" t="str">
        <f t="shared" si="108"/>
        <v>특수</v>
      </c>
    </row>
    <row r="525" spans="1:9" x14ac:dyDescent="0.3">
      <c r="A525" s="2" t="str">
        <f t="shared" si="113"/>
        <v>20240904</v>
      </c>
      <c r="B525" s="2" t="str">
        <f>"36334602"</f>
        <v>36334602</v>
      </c>
      <c r="C525" s="2" t="str">
        <f>"허철웅"</f>
        <v>허철웅</v>
      </c>
      <c r="D525" s="2" t="str">
        <f>"M"</f>
        <v>M</v>
      </c>
      <c r="E525" s="2" t="str">
        <f>"19901015"</f>
        <v>19901015</v>
      </c>
      <c r="F525" s="2" t="str">
        <f>"33"</f>
        <v>33</v>
      </c>
      <c r="G525" s="2" t="str">
        <f t="shared" si="111"/>
        <v>E78660</v>
      </c>
      <c r="H525" s="2" t="str">
        <f t="shared" si="112"/>
        <v>가톨릭대학교 서울성모병원</v>
      </c>
      <c r="I525" s="2" t="str">
        <f t="shared" si="108"/>
        <v>특수</v>
      </c>
    </row>
    <row r="526" spans="1:9" x14ac:dyDescent="0.3">
      <c r="A526" s="2" t="str">
        <f t="shared" si="113"/>
        <v>20240904</v>
      </c>
      <c r="B526" s="2" t="str">
        <f>"37923571"</f>
        <v>37923571</v>
      </c>
      <c r="C526" s="2" t="str">
        <f>"최준홍"</f>
        <v>최준홍</v>
      </c>
      <c r="D526" s="2" t="str">
        <f>"M"</f>
        <v>M</v>
      </c>
      <c r="E526" s="2" t="str">
        <f>"19960207"</f>
        <v>19960207</v>
      </c>
      <c r="F526" s="2" t="str">
        <f>"28"</f>
        <v>28</v>
      </c>
      <c r="G526" s="2" t="str">
        <f t="shared" si="111"/>
        <v>E78660</v>
      </c>
      <c r="H526" s="2" t="str">
        <f t="shared" si="112"/>
        <v>가톨릭대학교 서울성모병원</v>
      </c>
      <c r="I526" s="2" t="str">
        <f t="shared" si="108"/>
        <v>특수</v>
      </c>
    </row>
    <row r="527" spans="1:9" x14ac:dyDescent="0.3">
      <c r="A527" s="2" t="str">
        <f t="shared" si="113"/>
        <v>20240904</v>
      </c>
      <c r="B527" s="2" t="str">
        <f>"38086483"</f>
        <v>38086483</v>
      </c>
      <c r="C527" s="2" t="str">
        <f>"백예림"</f>
        <v>백예림</v>
      </c>
      <c r="D527" s="2" t="str">
        <f t="shared" ref="D527:D538" si="114">"F"</f>
        <v>F</v>
      </c>
      <c r="E527" s="2" t="str">
        <f>"19971017"</f>
        <v>19971017</v>
      </c>
      <c r="F527" s="2" t="str">
        <f>"26"</f>
        <v>26</v>
      </c>
      <c r="G527" s="2" t="str">
        <f t="shared" si="111"/>
        <v>E78660</v>
      </c>
      <c r="H527" s="2" t="str">
        <f t="shared" si="112"/>
        <v>가톨릭대학교 서울성모병원</v>
      </c>
      <c r="I527" s="2" t="str">
        <f t="shared" si="108"/>
        <v>특수</v>
      </c>
    </row>
    <row r="528" spans="1:9" x14ac:dyDescent="0.3">
      <c r="A528" s="2" t="str">
        <f t="shared" si="113"/>
        <v>20240904</v>
      </c>
      <c r="B528" s="2" t="str">
        <f>"9129444"</f>
        <v>9129444</v>
      </c>
      <c r="C528" s="2" t="str">
        <f>"윤영숙"</f>
        <v>윤영숙</v>
      </c>
      <c r="D528" s="2" t="str">
        <f t="shared" si="114"/>
        <v>F</v>
      </c>
      <c r="E528" s="2" t="str">
        <f>"19730215"</f>
        <v>19730215</v>
      </c>
      <c r="F528" s="2" t="str">
        <f>"51"</f>
        <v>51</v>
      </c>
      <c r="G528" s="2" t="str">
        <f t="shared" si="111"/>
        <v>E78660</v>
      </c>
      <c r="H528" s="2" t="str">
        <f t="shared" si="112"/>
        <v>가톨릭대학교 서울성모병원</v>
      </c>
      <c r="I528" s="2" t="str">
        <f t="shared" si="108"/>
        <v>특수</v>
      </c>
    </row>
    <row r="529" spans="1:9" x14ac:dyDescent="0.3">
      <c r="A529" s="2" t="str">
        <f t="shared" ref="A529:A541" si="115">"20240905"</f>
        <v>20240905</v>
      </c>
      <c r="B529" s="2" t="str">
        <f>"14889138"</f>
        <v>14889138</v>
      </c>
      <c r="C529" s="2" t="str">
        <f>"남정혜"</f>
        <v>남정혜</v>
      </c>
      <c r="D529" s="2" t="str">
        <f t="shared" si="114"/>
        <v>F</v>
      </c>
      <c r="E529" s="2" t="str">
        <f>"19810408"</f>
        <v>19810408</v>
      </c>
      <c r="F529" s="2" t="str">
        <f>"43"</f>
        <v>43</v>
      </c>
      <c r="G529" s="2" t="str">
        <f t="shared" si="111"/>
        <v>E78660</v>
      </c>
      <c r="H529" s="2" t="str">
        <f t="shared" si="112"/>
        <v>가톨릭대학교 서울성모병원</v>
      </c>
      <c r="I529" s="2" t="str">
        <f t="shared" si="108"/>
        <v>특수</v>
      </c>
    </row>
    <row r="530" spans="1:9" x14ac:dyDescent="0.3">
      <c r="A530" s="2" t="str">
        <f t="shared" si="115"/>
        <v>20240905</v>
      </c>
      <c r="B530" s="2" t="str">
        <f>"15579256"</f>
        <v>15579256</v>
      </c>
      <c r="C530" s="2" t="str">
        <f>"신미령"</f>
        <v>신미령</v>
      </c>
      <c r="D530" s="2" t="str">
        <f t="shared" si="114"/>
        <v>F</v>
      </c>
      <c r="E530" s="2" t="str">
        <f>"19790625"</f>
        <v>19790625</v>
      </c>
      <c r="F530" s="2" t="str">
        <f>"45"</f>
        <v>45</v>
      </c>
      <c r="G530" s="2" t="str">
        <f t="shared" si="111"/>
        <v>E78660</v>
      </c>
      <c r="H530" s="2" t="str">
        <f t="shared" si="112"/>
        <v>가톨릭대학교 서울성모병원</v>
      </c>
      <c r="I530" s="2" t="str">
        <f t="shared" si="108"/>
        <v>특수</v>
      </c>
    </row>
    <row r="531" spans="1:9" x14ac:dyDescent="0.3">
      <c r="A531" s="2" t="str">
        <f t="shared" si="115"/>
        <v>20240905</v>
      </c>
      <c r="B531" s="2" t="str">
        <f>"23513412"</f>
        <v>23513412</v>
      </c>
      <c r="C531" s="2" t="str">
        <f>"신선미"</f>
        <v>신선미</v>
      </c>
      <c r="D531" s="2" t="str">
        <f t="shared" si="114"/>
        <v>F</v>
      </c>
      <c r="E531" s="2" t="str">
        <f>"19860727"</f>
        <v>19860727</v>
      </c>
      <c r="F531" s="2" t="str">
        <f>"38"</f>
        <v>38</v>
      </c>
      <c r="G531" s="2" t="str">
        <f t="shared" si="111"/>
        <v>E78660</v>
      </c>
      <c r="H531" s="2" t="str">
        <f t="shared" si="112"/>
        <v>가톨릭대학교 서울성모병원</v>
      </c>
      <c r="I531" s="2" t="str">
        <f t="shared" si="108"/>
        <v>특수</v>
      </c>
    </row>
    <row r="532" spans="1:9" x14ac:dyDescent="0.3">
      <c r="A532" s="2" t="str">
        <f t="shared" si="115"/>
        <v>20240905</v>
      </c>
      <c r="B532" s="2" t="str">
        <f>"24189852"</f>
        <v>24189852</v>
      </c>
      <c r="C532" s="2" t="str">
        <f>"윤선아"</f>
        <v>윤선아</v>
      </c>
      <c r="D532" s="2" t="str">
        <f t="shared" si="114"/>
        <v>F</v>
      </c>
      <c r="E532" s="2" t="str">
        <f>"19880516"</f>
        <v>19880516</v>
      </c>
      <c r="F532" s="2" t="str">
        <f>"36"</f>
        <v>36</v>
      </c>
      <c r="G532" s="2" t="str">
        <f t="shared" si="111"/>
        <v>E78660</v>
      </c>
      <c r="H532" s="2" t="str">
        <f t="shared" si="112"/>
        <v>가톨릭대학교 서울성모병원</v>
      </c>
      <c r="I532" s="2" t="str">
        <f t="shared" si="108"/>
        <v>특수</v>
      </c>
    </row>
    <row r="533" spans="1:9" x14ac:dyDescent="0.3">
      <c r="A533" s="2" t="str">
        <f t="shared" si="115"/>
        <v>20240905</v>
      </c>
      <c r="B533" s="2" t="str">
        <f>"24398240"</f>
        <v>24398240</v>
      </c>
      <c r="C533" s="2" t="str">
        <f>"오경진"</f>
        <v>오경진</v>
      </c>
      <c r="D533" s="2" t="str">
        <f t="shared" si="114"/>
        <v>F</v>
      </c>
      <c r="E533" s="2" t="str">
        <f>"19880802"</f>
        <v>19880802</v>
      </c>
      <c r="F533" s="2" t="str">
        <f>"36"</f>
        <v>36</v>
      </c>
      <c r="G533" s="2" t="str">
        <f t="shared" si="111"/>
        <v>E78660</v>
      </c>
      <c r="H533" s="2" t="str">
        <f t="shared" si="112"/>
        <v>가톨릭대학교 서울성모병원</v>
      </c>
      <c r="I533" s="2" t="str">
        <f t="shared" ref="I533:I554" si="116">"특수"</f>
        <v>특수</v>
      </c>
    </row>
    <row r="534" spans="1:9" x14ac:dyDescent="0.3">
      <c r="A534" s="2" t="str">
        <f t="shared" si="115"/>
        <v>20240905</v>
      </c>
      <c r="B534" s="2" t="str">
        <f>"28225801"</f>
        <v>28225801</v>
      </c>
      <c r="C534" s="2" t="str">
        <f>"최헌지"</f>
        <v>최헌지</v>
      </c>
      <c r="D534" s="2" t="str">
        <f t="shared" si="114"/>
        <v>F</v>
      </c>
      <c r="E534" s="2" t="str">
        <f>"19910902"</f>
        <v>19910902</v>
      </c>
      <c r="F534" s="2" t="str">
        <f>"33"</f>
        <v>33</v>
      </c>
      <c r="G534" s="2" t="str">
        <f t="shared" si="111"/>
        <v>E78660</v>
      </c>
      <c r="H534" s="2" t="str">
        <f t="shared" si="112"/>
        <v>가톨릭대학교 서울성모병원</v>
      </c>
      <c r="I534" s="2" t="str">
        <f t="shared" si="116"/>
        <v>특수</v>
      </c>
    </row>
    <row r="535" spans="1:9" x14ac:dyDescent="0.3">
      <c r="A535" s="2" t="str">
        <f t="shared" si="115"/>
        <v>20240905</v>
      </c>
      <c r="B535" s="2" t="str">
        <f>"30795513"</f>
        <v>30795513</v>
      </c>
      <c r="C535" s="2" t="str">
        <f>"이다윤"</f>
        <v>이다윤</v>
      </c>
      <c r="D535" s="2" t="str">
        <f t="shared" si="114"/>
        <v>F</v>
      </c>
      <c r="E535" s="2" t="str">
        <f>"19990621"</f>
        <v>19990621</v>
      </c>
      <c r="F535" s="2" t="str">
        <f>"25"</f>
        <v>25</v>
      </c>
      <c r="G535" s="2" t="str">
        <f t="shared" si="111"/>
        <v>E78660</v>
      </c>
      <c r="H535" s="2" t="str">
        <f t="shared" si="112"/>
        <v>가톨릭대학교 서울성모병원</v>
      </c>
      <c r="I535" s="2" t="str">
        <f t="shared" si="116"/>
        <v>특수</v>
      </c>
    </row>
    <row r="536" spans="1:9" x14ac:dyDescent="0.3">
      <c r="A536" s="2" t="str">
        <f t="shared" si="115"/>
        <v>20240905</v>
      </c>
      <c r="B536" s="2" t="str">
        <f>"31059074"</f>
        <v>31059074</v>
      </c>
      <c r="C536" s="2" t="str">
        <f>"안지영"</f>
        <v>안지영</v>
      </c>
      <c r="D536" s="2" t="str">
        <f t="shared" si="114"/>
        <v>F</v>
      </c>
      <c r="E536" s="2" t="str">
        <f>"19940810"</f>
        <v>19940810</v>
      </c>
      <c r="F536" s="2" t="str">
        <f>"30"</f>
        <v>30</v>
      </c>
      <c r="G536" s="2" t="str">
        <f t="shared" si="111"/>
        <v>E78660</v>
      </c>
      <c r="H536" s="2" t="str">
        <f t="shared" si="112"/>
        <v>가톨릭대학교 서울성모병원</v>
      </c>
      <c r="I536" s="2" t="str">
        <f t="shared" si="116"/>
        <v>특수</v>
      </c>
    </row>
    <row r="537" spans="1:9" x14ac:dyDescent="0.3">
      <c r="A537" s="2" t="str">
        <f t="shared" si="115"/>
        <v>20240905</v>
      </c>
      <c r="B537" s="2" t="str">
        <f>"32627900"</f>
        <v>32627900</v>
      </c>
      <c r="C537" s="2" t="str">
        <f>"윤승의"</f>
        <v>윤승의</v>
      </c>
      <c r="D537" s="2" t="str">
        <f t="shared" si="114"/>
        <v>F</v>
      </c>
      <c r="E537" s="2" t="str">
        <f>"19950625"</f>
        <v>19950625</v>
      </c>
      <c r="F537" s="2" t="str">
        <f>"29"</f>
        <v>29</v>
      </c>
      <c r="G537" s="2" t="str">
        <f t="shared" si="111"/>
        <v>E78660</v>
      </c>
      <c r="H537" s="2" t="str">
        <f t="shared" si="112"/>
        <v>가톨릭대학교 서울성모병원</v>
      </c>
      <c r="I537" s="2" t="str">
        <f t="shared" si="116"/>
        <v>특수</v>
      </c>
    </row>
    <row r="538" spans="1:9" x14ac:dyDescent="0.3">
      <c r="A538" s="2" t="str">
        <f t="shared" si="115"/>
        <v>20240905</v>
      </c>
      <c r="B538" s="2" t="str">
        <f>"33302242"</f>
        <v>33302242</v>
      </c>
      <c r="C538" s="2" t="str">
        <f>"진소희"</f>
        <v>진소희</v>
      </c>
      <c r="D538" s="2" t="str">
        <f t="shared" si="114"/>
        <v>F</v>
      </c>
      <c r="E538" s="2" t="str">
        <f>"19911203"</f>
        <v>19911203</v>
      </c>
      <c r="F538" s="2" t="str">
        <f>"32"</f>
        <v>32</v>
      </c>
      <c r="G538" s="2" t="str">
        <f t="shared" si="111"/>
        <v>E78660</v>
      </c>
      <c r="H538" s="2" t="str">
        <f t="shared" si="112"/>
        <v>가톨릭대학교 서울성모병원</v>
      </c>
      <c r="I538" s="2" t="str">
        <f t="shared" si="116"/>
        <v>특수</v>
      </c>
    </row>
    <row r="539" spans="1:9" x14ac:dyDescent="0.3">
      <c r="A539" s="2" t="str">
        <f t="shared" si="115"/>
        <v>20240905</v>
      </c>
      <c r="B539" s="2" t="str">
        <f>"37047613"</f>
        <v>37047613</v>
      </c>
      <c r="C539" s="2" t="str">
        <f>"김현우"</f>
        <v>김현우</v>
      </c>
      <c r="D539" s="2" t="str">
        <f>"M"</f>
        <v>M</v>
      </c>
      <c r="E539" s="2" t="str">
        <f>"19970201"</f>
        <v>19970201</v>
      </c>
      <c r="F539" s="2" t="str">
        <f>"27"</f>
        <v>27</v>
      </c>
      <c r="G539" s="2" t="str">
        <f t="shared" si="111"/>
        <v>E78660</v>
      </c>
      <c r="H539" s="2" t="str">
        <f t="shared" si="112"/>
        <v>가톨릭대학교 서울성모병원</v>
      </c>
      <c r="I539" s="2" t="str">
        <f t="shared" si="116"/>
        <v>특수</v>
      </c>
    </row>
    <row r="540" spans="1:9" x14ac:dyDescent="0.3">
      <c r="A540" s="2" t="str">
        <f t="shared" si="115"/>
        <v>20240905</v>
      </c>
      <c r="B540" s="2" t="str">
        <f>"6695256"</f>
        <v>6695256</v>
      </c>
      <c r="C540" s="2" t="str">
        <f>"김진영"</f>
        <v>김진영</v>
      </c>
      <c r="D540" s="2" t="str">
        <f>"F"</f>
        <v>F</v>
      </c>
      <c r="E540" s="2" t="str">
        <f>"19780618"</f>
        <v>19780618</v>
      </c>
      <c r="F540" s="2" t="str">
        <f>"46"</f>
        <v>46</v>
      </c>
      <c r="G540" s="2" t="str">
        <f t="shared" si="111"/>
        <v>E78660</v>
      </c>
      <c r="H540" s="2" t="str">
        <f t="shared" si="112"/>
        <v>가톨릭대학교 서울성모병원</v>
      </c>
      <c r="I540" s="2" t="str">
        <f t="shared" si="116"/>
        <v>특수</v>
      </c>
    </row>
    <row r="541" spans="1:9" x14ac:dyDescent="0.3">
      <c r="A541" s="2" t="str">
        <f t="shared" si="115"/>
        <v>20240905</v>
      </c>
      <c r="B541" s="2" t="str">
        <f>"8492735"</f>
        <v>8492735</v>
      </c>
      <c r="C541" s="2" t="str">
        <f>"이정중"</f>
        <v>이정중</v>
      </c>
      <c r="D541" s="2" t="str">
        <f>"M"</f>
        <v>M</v>
      </c>
      <c r="E541" s="2" t="str">
        <f>"19680320"</f>
        <v>19680320</v>
      </c>
      <c r="F541" s="2" t="str">
        <f>"56"</f>
        <v>56</v>
      </c>
      <c r="G541" s="2" t="str">
        <f t="shared" si="111"/>
        <v>E78660</v>
      </c>
      <c r="H541" s="2" t="str">
        <f t="shared" si="112"/>
        <v>가톨릭대학교 서울성모병원</v>
      </c>
      <c r="I541" s="2" t="str">
        <f t="shared" si="116"/>
        <v>특수</v>
      </c>
    </row>
    <row r="542" spans="1:9" x14ac:dyDescent="0.3">
      <c r="A542" s="2" t="str">
        <f t="shared" ref="A542:A548" si="117">"20240919"</f>
        <v>20240919</v>
      </c>
      <c r="B542" s="2" t="str">
        <f>"17567577"</f>
        <v>17567577</v>
      </c>
      <c r="C542" s="2" t="str">
        <f>"김형태"</f>
        <v>김형태</v>
      </c>
      <c r="D542" s="2" t="str">
        <f>"M"</f>
        <v>M</v>
      </c>
      <c r="E542" s="2" t="str">
        <f>"19910115"</f>
        <v>19910115</v>
      </c>
      <c r="F542" s="2" t="str">
        <f>"33"</f>
        <v>33</v>
      </c>
      <c r="G542" s="2" t="str">
        <f t="shared" si="111"/>
        <v>E78660</v>
      </c>
      <c r="H542" s="2" t="str">
        <f t="shared" si="112"/>
        <v>가톨릭대학교 서울성모병원</v>
      </c>
      <c r="I542" s="2" t="str">
        <f t="shared" si="116"/>
        <v>특수</v>
      </c>
    </row>
    <row r="543" spans="1:9" x14ac:dyDescent="0.3">
      <c r="A543" s="2" t="str">
        <f t="shared" si="117"/>
        <v>20240919</v>
      </c>
      <c r="B543" s="2" t="str">
        <f>"23565086"</f>
        <v>23565086</v>
      </c>
      <c r="C543" s="2" t="str">
        <f>"이웅"</f>
        <v>이웅</v>
      </c>
      <c r="D543" s="2" t="str">
        <f>"M"</f>
        <v>M</v>
      </c>
      <c r="E543" s="2" t="str">
        <f>"19840131"</f>
        <v>19840131</v>
      </c>
      <c r="F543" s="2" t="str">
        <f>"40"</f>
        <v>40</v>
      </c>
      <c r="G543" s="2" t="str">
        <f t="shared" si="111"/>
        <v>E78660</v>
      </c>
      <c r="H543" s="2" t="str">
        <f t="shared" si="112"/>
        <v>가톨릭대학교 서울성모병원</v>
      </c>
      <c r="I543" s="2" t="str">
        <f t="shared" si="116"/>
        <v>특수</v>
      </c>
    </row>
    <row r="544" spans="1:9" x14ac:dyDescent="0.3">
      <c r="A544" s="2" t="str">
        <f t="shared" si="117"/>
        <v>20240919</v>
      </c>
      <c r="B544" s="2" t="str">
        <f>"28553301"</f>
        <v>28553301</v>
      </c>
      <c r="C544" s="2" t="str">
        <f>"김채연"</f>
        <v>김채연</v>
      </c>
      <c r="D544" s="2" t="str">
        <f t="shared" ref="D544:D552" si="118">"F"</f>
        <v>F</v>
      </c>
      <c r="E544" s="2" t="str">
        <f>"19960602"</f>
        <v>19960602</v>
      </c>
      <c r="F544" s="2" t="str">
        <f>"28"</f>
        <v>28</v>
      </c>
      <c r="G544" s="2" t="str">
        <f t="shared" si="111"/>
        <v>E78660</v>
      </c>
      <c r="H544" s="2" t="str">
        <f t="shared" si="112"/>
        <v>가톨릭대학교 서울성모병원</v>
      </c>
      <c r="I544" s="2" t="str">
        <f t="shared" si="116"/>
        <v>특수</v>
      </c>
    </row>
    <row r="545" spans="1:9" x14ac:dyDescent="0.3">
      <c r="A545" s="2" t="str">
        <f t="shared" si="117"/>
        <v>20240919</v>
      </c>
      <c r="B545" s="2" t="str">
        <f>"30120431"</f>
        <v>30120431</v>
      </c>
      <c r="C545" s="2" t="str">
        <f>"안지윤"</f>
        <v>안지윤</v>
      </c>
      <c r="D545" s="2" t="str">
        <f t="shared" si="118"/>
        <v>F</v>
      </c>
      <c r="E545" s="2" t="str">
        <f>"19930527"</f>
        <v>19930527</v>
      </c>
      <c r="F545" s="2" t="str">
        <f>"31"</f>
        <v>31</v>
      </c>
      <c r="G545" s="2" t="str">
        <f t="shared" si="111"/>
        <v>E78660</v>
      </c>
      <c r="H545" s="2" t="str">
        <f t="shared" si="112"/>
        <v>가톨릭대학교 서울성모병원</v>
      </c>
      <c r="I545" s="2" t="str">
        <f t="shared" si="116"/>
        <v>특수</v>
      </c>
    </row>
    <row r="546" spans="1:9" x14ac:dyDescent="0.3">
      <c r="A546" s="2" t="str">
        <f t="shared" si="117"/>
        <v>20240919</v>
      </c>
      <c r="B546" s="2" t="str">
        <f>"32764516"</f>
        <v>32764516</v>
      </c>
      <c r="C546" s="2" t="str">
        <f>"한지연"</f>
        <v>한지연</v>
      </c>
      <c r="D546" s="2" t="str">
        <f t="shared" si="118"/>
        <v>F</v>
      </c>
      <c r="E546" s="2" t="str">
        <f>"19950610"</f>
        <v>19950610</v>
      </c>
      <c r="F546" s="2" t="str">
        <f>"29"</f>
        <v>29</v>
      </c>
      <c r="G546" s="2" t="str">
        <f t="shared" si="111"/>
        <v>E78660</v>
      </c>
      <c r="H546" s="2" t="str">
        <f t="shared" si="112"/>
        <v>가톨릭대학교 서울성모병원</v>
      </c>
      <c r="I546" s="2" t="str">
        <f t="shared" si="116"/>
        <v>특수</v>
      </c>
    </row>
    <row r="547" spans="1:9" x14ac:dyDescent="0.3">
      <c r="A547" s="2" t="str">
        <f t="shared" si="117"/>
        <v>20240919</v>
      </c>
      <c r="B547" s="2" t="str">
        <f>"37542452"</f>
        <v>37542452</v>
      </c>
      <c r="C547" s="2" t="str">
        <f>"유하림"</f>
        <v>유하림</v>
      </c>
      <c r="D547" s="2" t="str">
        <f t="shared" si="118"/>
        <v>F</v>
      </c>
      <c r="E547" s="2" t="str">
        <f>"19980206"</f>
        <v>19980206</v>
      </c>
      <c r="F547" s="2" t="str">
        <f>"26"</f>
        <v>26</v>
      </c>
      <c r="G547" s="2" t="str">
        <f t="shared" si="111"/>
        <v>E78660</v>
      </c>
      <c r="H547" s="2" t="str">
        <f t="shared" si="112"/>
        <v>가톨릭대학교 서울성모병원</v>
      </c>
      <c r="I547" s="2" t="str">
        <f t="shared" si="116"/>
        <v>특수</v>
      </c>
    </row>
    <row r="548" spans="1:9" x14ac:dyDescent="0.3">
      <c r="A548" s="2" t="str">
        <f t="shared" si="117"/>
        <v>20240919</v>
      </c>
      <c r="B548" s="2" t="str">
        <f>"7420900"</f>
        <v>7420900</v>
      </c>
      <c r="C548" s="2" t="str">
        <f>"박수산나"</f>
        <v>박수산나</v>
      </c>
      <c r="D548" s="2" t="str">
        <f t="shared" si="118"/>
        <v>F</v>
      </c>
      <c r="E548" s="2" t="str">
        <f>"19711206"</f>
        <v>19711206</v>
      </c>
      <c r="F548" s="2" t="str">
        <f>"52"</f>
        <v>52</v>
      </c>
      <c r="G548" s="2" t="str">
        <f t="shared" si="111"/>
        <v>E78660</v>
      </c>
      <c r="H548" s="2" t="str">
        <f t="shared" si="112"/>
        <v>가톨릭대학교 서울성모병원</v>
      </c>
      <c r="I548" s="2" t="str">
        <f t="shared" si="116"/>
        <v>특수</v>
      </c>
    </row>
    <row r="549" spans="1:9" x14ac:dyDescent="0.3">
      <c r="A549" s="2" t="str">
        <f>"20240923"</f>
        <v>20240923</v>
      </c>
      <c r="B549" s="2" t="str">
        <f>"26276971"</f>
        <v>26276971</v>
      </c>
      <c r="C549" s="2" t="str">
        <f>"정소영"</f>
        <v>정소영</v>
      </c>
      <c r="D549" s="2" t="str">
        <f t="shared" si="118"/>
        <v>F</v>
      </c>
      <c r="E549" s="2" t="str">
        <f>"19941013"</f>
        <v>19941013</v>
      </c>
      <c r="F549" s="2" t="str">
        <f>"29"</f>
        <v>29</v>
      </c>
      <c r="G549" s="2" t="str">
        <f t="shared" si="111"/>
        <v>E78660</v>
      </c>
      <c r="H549" s="2" t="str">
        <f t="shared" si="112"/>
        <v>가톨릭대학교 서울성모병원</v>
      </c>
      <c r="I549" s="2" t="str">
        <f t="shared" si="116"/>
        <v>특수</v>
      </c>
    </row>
    <row r="550" spans="1:9" x14ac:dyDescent="0.3">
      <c r="A550" s="2" t="str">
        <f>"20240923"</f>
        <v>20240923</v>
      </c>
      <c r="B550" s="2" t="str">
        <f>"31058982"</f>
        <v>31058982</v>
      </c>
      <c r="C550" s="2" t="str">
        <f>"김혜원"</f>
        <v>김혜원</v>
      </c>
      <c r="D550" s="2" t="str">
        <f t="shared" si="118"/>
        <v>F</v>
      </c>
      <c r="E550" s="2" t="str">
        <f>"19940818"</f>
        <v>19940818</v>
      </c>
      <c r="F550" s="2" t="str">
        <f>"30"</f>
        <v>30</v>
      </c>
      <c r="G550" s="2" t="str">
        <f t="shared" si="111"/>
        <v>E78660</v>
      </c>
      <c r="H550" s="2" t="str">
        <f t="shared" si="112"/>
        <v>가톨릭대학교 서울성모병원</v>
      </c>
      <c r="I550" s="2" t="str">
        <f t="shared" si="116"/>
        <v>특수</v>
      </c>
    </row>
    <row r="551" spans="1:9" x14ac:dyDescent="0.3">
      <c r="A551" s="2" t="str">
        <f>"20240923"</f>
        <v>20240923</v>
      </c>
      <c r="B551" s="2" t="str">
        <f>"32627911"</f>
        <v>32627911</v>
      </c>
      <c r="C551" s="2" t="str">
        <f>"윤연주"</f>
        <v>윤연주</v>
      </c>
      <c r="D551" s="2" t="str">
        <f t="shared" si="118"/>
        <v>F</v>
      </c>
      <c r="E551" s="2" t="str">
        <f>"19951112"</f>
        <v>19951112</v>
      </c>
      <c r="F551" s="2" t="str">
        <f>"28"</f>
        <v>28</v>
      </c>
      <c r="G551" s="2" t="str">
        <f t="shared" si="111"/>
        <v>E78660</v>
      </c>
      <c r="H551" s="2" t="str">
        <f t="shared" si="112"/>
        <v>가톨릭대학교 서울성모병원</v>
      </c>
      <c r="I551" s="2" t="str">
        <f t="shared" si="116"/>
        <v>특수</v>
      </c>
    </row>
    <row r="552" spans="1:9" x14ac:dyDescent="0.3">
      <c r="A552" s="2" t="str">
        <f>"20240924"</f>
        <v>20240924</v>
      </c>
      <c r="B552" s="2" t="str">
        <f>"19030917"</f>
        <v>19030917</v>
      </c>
      <c r="C552" s="2" t="str">
        <f>"강영지"</f>
        <v>강영지</v>
      </c>
      <c r="D552" s="2" t="str">
        <f t="shared" si="118"/>
        <v>F</v>
      </c>
      <c r="E552" s="2" t="str">
        <f>"19850529"</f>
        <v>19850529</v>
      </c>
      <c r="F552" s="2" t="str">
        <f>"39"</f>
        <v>39</v>
      </c>
      <c r="G552" s="2" t="str">
        <f t="shared" si="111"/>
        <v>E78660</v>
      </c>
      <c r="H552" s="2" t="str">
        <f t="shared" si="112"/>
        <v>가톨릭대학교 서울성모병원</v>
      </c>
      <c r="I552" s="2" t="str">
        <f t="shared" si="116"/>
        <v>특수</v>
      </c>
    </row>
    <row r="553" spans="1:9" x14ac:dyDescent="0.3">
      <c r="A553" s="2" t="str">
        <f>"20240924"</f>
        <v>20240924</v>
      </c>
      <c r="B553" s="2" t="str">
        <f>"21903282"</f>
        <v>21903282</v>
      </c>
      <c r="C553" s="2" t="str">
        <f>"권민석"</f>
        <v>권민석</v>
      </c>
      <c r="D553" s="2" t="str">
        <f>"M"</f>
        <v>M</v>
      </c>
      <c r="E553" s="2" t="str">
        <f>"19750716"</f>
        <v>19750716</v>
      </c>
      <c r="F553" s="2" t="str">
        <f>"49"</f>
        <v>49</v>
      </c>
      <c r="G553" s="2" t="str">
        <f t="shared" si="111"/>
        <v>E78660</v>
      </c>
      <c r="H553" s="2" t="str">
        <f t="shared" si="112"/>
        <v>가톨릭대학교 서울성모병원</v>
      </c>
      <c r="I553" s="2" t="str">
        <f t="shared" si="116"/>
        <v>특수</v>
      </c>
    </row>
    <row r="554" spans="1:9" x14ac:dyDescent="0.3">
      <c r="A554" s="2" t="str">
        <f>"20240924"</f>
        <v>20240924</v>
      </c>
      <c r="B554" s="2" t="str">
        <f>"29204321"</f>
        <v>29204321</v>
      </c>
      <c r="C554" s="2" t="str">
        <f>"엄지원"</f>
        <v>엄지원</v>
      </c>
      <c r="D554" s="2" t="str">
        <f>"F"</f>
        <v>F</v>
      </c>
      <c r="E554" s="2" t="str">
        <f>"19910618"</f>
        <v>19910618</v>
      </c>
      <c r="F554" s="2" t="str">
        <f>"33"</f>
        <v>33</v>
      </c>
      <c r="G554" s="2" t="str">
        <f t="shared" si="111"/>
        <v>E78660</v>
      </c>
      <c r="H554" s="2" t="str">
        <f t="shared" si="112"/>
        <v>가톨릭대학교 서울성모병원</v>
      </c>
      <c r="I554" s="2" t="str">
        <f t="shared" si="116"/>
        <v>특수</v>
      </c>
    </row>
    <row r="555" spans="1:9" x14ac:dyDescent="0.3">
      <c r="A555" s="2" t="str">
        <f>"20240924"</f>
        <v>20240924</v>
      </c>
      <c r="B555" s="2" t="str">
        <f>"39669573"</f>
        <v>39669573</v>
      </c>
      <c r="C555" s="2" t="str">
        <f>"이주봉"</f>
        <v>이주봉</v>
      </c>
      <c r="D555" s="2" t="str">
        <f>"M"</f>
        <v>M</v>
      </c>
      <c r="E555" s="2" t="str">
        <f>"20001224"</f>
        <v>20001224</v>
      </c>
      <c r="F555" s="2" t="str">
        <f>"23"</f>
        <v>23</v>
      </c>
      <c r="G555" s="2" t="str">
        <f t="shared" si="111"/>
        <v>E78660</v>
      </c>
      <c r="H555" s="2" t="str">
        <f t="shared" si="112"/>
        <v>가톨릭대학교 서울성모병원</v>
      </c>
      <c r="I555" s="2" t="str">
        <f>"배치후"</f>
        <v>배치후</v>
      </c>
    </row>
    <row r="556" spans="1:9" x14ac:dyDescent="0.3">
      <c r="A556" s="2" t="str">
        <f>"20240924"</f>
        <v>20240924</v>
      </c>
      <c r="B556" s="2" t="str">
        <f>"39680365"</f>
        <v>39680365</v>
      </c>
      <c r="C556" s="2" t="str">
        <f>"김나영"</f>
        <v>김나영</v>
      </c>
      <c r="D556" s="2" t="str">
        <f>"F"</f>
        <v>F</v>
      </c>
      <c r="E556" s="2" t="str">
        <f>"19960709"</f>
        <v>19960709</v>
      </c>
      <c r="F556" s="2" t="str">
        <f>"28"</f>
        <v>28</v>
      </c>
      <c r="G556" s="2" t="str">
        <f t="shared" si="111"/>
        <v>E78660</v>
      </c>
      <c r="H556" s="2" t="str">
        <f t="shared" si="112"/>
        <v>가톨릭대학교 서울성모병원</v>
      </c>
      <c r="I556" s="2" t="str">
        <f>"배치후"</f>
        <v>배치후</v>
      </c>
    </row>
    <row r="557" spans="1:9" x14ac:dyDescent="0.3">
      <c r="A557" s="2" t="str">
        <f t="shared" ref="A557:A563" si="119">"20240925"</f>
        <v>20240925</v>
      </c>
      <c r="B557" s="2" t="str">
        <f>"14503128"</f>
        <v>14503128</v>
      </c>
      <c r="C557" s="2" t="str">
        <f>"성동환"</f>
        <v>성동환</v>
      </c>
      <c r="D557" s="2" t="str">
        <f>"M"</f>
        <v>M</v>
      </c>
      <c r="E557" s="2" t="str">
        <f>"19750124"</f>
        <v>19750124</v>
      </c>
      <c r="F557" s="2" t="str">
        <f>"49"</f>
        <v>49</v>
      </c>
      <c r="G557" s="2" t="str">
        <f t="shared" si="111"/>
        <v>E78660</v>
      </c>
      <c r="H557" s="2" t="str">
        <f t="shared" si="112"/>
        <v>가톨릭대학교 서울성모병원</v>
      </c>
      <c r="I557" s="2" t="str">
        <f>"특수"</f>
        <v>특수</v>
      </c>
    </row>
    <row r="558" spans="1:9" x14ac:dyDescent="0.3">
      <c r="A558" s="2" t="str">
        <f t="shared" si="119"/>
        <v>20240925</v>
      </c>
      <c r="B558" s="2" t="str">
        <f>"17015869"</f>
        <v>17015869</v>
      </c>
      <c r="C558" s="2" t="str">
        <f>"김혜준"</f>
        <v>김혜준</v>
      </c>
      <c r="D558" s="2" t="str">
        <f>"F"</f>
        <v>F</v>
      </c>
      <c r="E558" s="2" t="str">
        <f>"19960222"</f>
        <v>19960222</v>
      </c>
      <c r="F558" s="2" t="str">
        <f>"28"</f>
        <v>28</v>
      </c>
      <c r="G558" s="2" t="str">
        <f t="shared" si="111"/>
        <v>E78660</v>
      </c>
      <c r="H558" s="2" t="str">
        <f t="shared" si="112"/>
        <v>가톨릭대학교 서울성모병원</v>
      </c>
      <c r="I558" s="2" t="str">
        <f>"배치후"</f>
        <v>배치후</v>
      </c>
    </row>
    <row r="559" spans="1:9" x14ac:dyDescent="0.3">
      <c r="A559" s="2" t="str">
        <f t="shared" si="119"/>
        <v>20240925</v>
      </c>
      <c r="B559" s="2" t="str">
        <f>"25037931"</f>
        <v>25037931</v>
      </c>
      <c r="C559" s="2" t="str">
        <f>"조선미"</f>
        <v>조선미</v>
      </c>
      <c r="D559" s="2" t="str">
        <f>"F"</f>
        <v>F</v>
      </c>
      <c r="E559" s="2" t="str">
        <f>"19890812"</f>
        <v>19890812</v>
      </c>
      <c r="F559" s="2" t="str">
        <f>"35"</f>
        <v>35</v>
      </c>
      <c r="G559" s="2" t="str">
        <f t="shared" si="111"/>
        <v>E78660</v>
      </c>
      <c r="H559" s="2" t="str">
        <f t="shared" si="112"/>
        <v>가톨릭대학교 서울성모병원</v>
      </c>
      <c r="I559" s="2" t="str">
        <f>"배치후"</f>
        <v>배치후</v>
      </c>
    </row>
    <row r="560" spans="1:9" x14ac:dyDescent="0.3">
      <c r="A560" s="2" t="str">
        <f t="shared" si="119"/>
        <v>20240925</v>
      </c>
      <c r="B560" s="2" t="str">
        <f>"27234591"</f>
        <v>27234591</v>
      </c>
      <c r="C560" s="2" t="str">
        <f>"김지윤"</f>
        <v>김지윤</v>
      </c>
      <c r="D560" s="2" t="str">
        <f>"F"</f>
        <v>F</v>
      </c>
      <c r="E560" s="2" t="str">
        <f>"19951214"</f>
        <v>19951214</v>
      </c>
      <c r="F560" s="2" t="str">
        <f>"28"</f>
        <v>28</v>
      </c>
      <c r="G560" s="2" t="str">
        <f t="shared" si="111"/>
        <v>E78660</v>
      </c>
      <c r="H560" s="2" t="str">
        <f t="shared" si="112"/>
        <v>가톨릭대학교 서울성모병원</v>
      </c>
      <c r="I560" s="2" t="str">
        <f>"배치전"</f>
        <v>배치전</v>
      </c>
    </row>
    <row r="561" spans="1:9" x14ac:dyDescent="0.3">
      <c r="A561" s="2" t="str">
        <f t="shared" si="119"/>
        <v>20240925</v>
      </c>
      <c r="B561" s="2" t="str">
        <f>"39654071"</f>
        <v>39654071</v>
      </c>
      <c r="C561" s="2" t="str">
        <f>"양희주"</f>
        <v>양희주</v>
      </c>
      <c r="D561" s="2" t="str">
        <f>"F"</f>
        <v>F</v>
      </c>
      <c r="E561" s="2" t="str">
        <f>"19960620"</f>
        <v>19960620</v>
      </c>
      <c r="F561" s="2" t="str">
        <f>"28"</f>
        <v>28</v>
      </c>
      <c r="G561" s="2" t="str">
        <f t="shared" si="111"/>
        <v>E78660</v>
      </c>
      <c r="H561" s="2" t="str">
        <f t="shared" si="112"/>
        <v>가톨릭대학교 서울성모병원</v>
      </c>
      <c r="I561" s="2" t="str">
        <f>"배치후"</f>
        <v>배치후</v>
      </c>
    </row>
    <row r="562" spans="1:9" x14ac:dyDescent="0.3">
      <c r="A562" s="2" t="str">
        <f t="shared" si="119"/>
        <v>20240925</v>
      </c>
      <c r="B562" s="2" t="str">
        <f>"39688710"</f>
        <v>39688710</v>
      </c>
      <c r="C562" s="2" t="str">
        <f>"정륜남"</f>
        <v>정륜남</v>
      </c>
      <c r="D562" s="2" t="str">
        <f>"F"</f>
        <v>F</v>
      </c>
      <c r="E562" s="2" t="str">
        <f>"19991029"</f>
        <v>19991029</v>
      </c>
      <c r="F562" s="2" t="str">
        <f>"24"</f>
        <v>24</v>
      </c>
      <c r="G562" s="2" t="str">
        <f t="shared" si="111"/>
        <v>E78660</v>
      </c>
      <c r="H562" s="2" t="str">
        <f t="shared" si="112"/>
        <v>가톨릭대학교 서울성모병원</v>
      </c>
      <c r="I562" s="2" t="str">
        <f>"배치후"</f>
        <v>배치후</v>
      </c>
    </row>
    <row r="563" spans="1:9" x14ac:dyDescent="0.3">
      <c r="A563" s="2" t="str">
        <f t="shared" si="119"/>
        <v>20240925</v>
      </c>
      <c r="B563" s="2" t="str">
        <f>"39758871"</f>
        <v>39758871</v>
      </c>
      <c r="C563" s="2" t="str">
        <f>"김명승"</f>
        <v>김명승</v>
      </c>
      <c r="D563" s="2" t="str">
        <f>"M"</f>
        <v>M</v>
      </c>
      <c r="E563" s="2" t="str">
        <f>"20000222"</f>
        <v>20000222</v>
      </c>
      <c r="F563" s="2" t="str">
        <f>"24"</f>
        <v>24</v>
      </c>
      <c r="G563" s="2" t="str">
        <f t="shared" si="111"/>
        <v>E78660</v>
      </c>
      <c r="H563" s="2" t="str">
        <f t="shared" si="112"/>
        <v>가톨릭대학교 서울성모병원</v>
      </c>
      <c r="I563" s="2" t="str">
        <f>"배치후"</f>
        <v>배치후</v>
      </c>
    </row>
    <row r="564" spans="1:9" x14ac:dyDescent="0.3">
      <c r="A564" s="2" t="str">
        <f t="shared" ref="A564:A569" si="120">"20240926"</f>
        <v>20240926</v>
      </c>
      <c r="B564" s="2" t="str">
        <f>"25252133"</f>
        <v>25252133</v>
      </c>
      <c r="C564" s="2" t="str">
        <f>"김나래"</f>
        <v>김나래</v>
      </c>
      <c r="D564" s="2" t="str">
        <f>"F"</f>
        <v>F</v>
      </c>
      <c r="E564" s="2" t="str">
        <f>"19910224"</f>
        <v>19910224</v>
      </c>
      <c r="F564" s="2" t="str">
        <f>"33"</f>
        <v>33</v>
      </c>
      <c r="G564" s="2" t="str">
        <f t="shared" si="111"/>
        <v>E78660</v>
      </c>
      <c r="H564" s="2" t="str">
        <f t="shared" si="112"/>
        <v>가톨릭대학교 서울성모병원</v>
      </c>
      <c r="I564" s="2" t="str">
        <f>"특수"</f>
        <v>특수</v>
      </c>
    </row>
    <row r="565" spans="1:9" x14ac:dyDescent="0.3">
      <c r="A565" s="2" t="str">
        <f t="shared" si="120"/>
        <v>20240926</v>
      </c>
      <c r="B565" s="2" t="str">
        <f>"39508794"</f>
        <v>39508794</v>
      </c>
      <c r="C565" s="2" t="str">
        <f>"서민주"</f>
        <v>서민주</v>
      </c>
      <c r="D565" s="2" t="str">
        <f>"F"</f>
        <v>F</v>
      </c>
      <c r="E565" s="2" t="str">
        <f>"20000619"</f>
        <v>20000619</v>
      </c>
      <c r="F565" s="2" t="str">
        <f>"24"</f>
        <v>24</v>
      </c>
      <c r="G565" s="2" t="str">
        <f t="shared" si="111"/>
        <v>E78660</v>
      </c>
      <c r="H565" s="2" t="str">
        <f t="shared" si="112"/>
        <v>가톨릭대학교 서울성모병원</v>
      </c>
      <c r="I565" s="2" t="str">
        <f>"배치전"</f>
        <v>배치전</v>
      </c>
    </row>
    <row r="566" spans="1:9" x14ac:dyDescent="0.3">
      <c r="A566" s="2" t="str">
        <f t="shared" si="120"/>
        <v>20240926</v>
      </c>
      <c r="B566" s="2" t="str">
        <f>"39654060"</f>
        <v>39654060</v>
      </c>
      <c r="C566" s="2" t="str">
        <f>"김하은"</f>
        <v>김하은</v>
      </c>
      <c r="D566" s="2" t="str">
        <f>"F"</f>
        <v>F</v>
      </c>
      <c r="E566" s="2" t="str">
        <f>"19970129"</f>
        <v>19970129</v>
      </c>
      <c r="F566" s="2" t="str">
        <f>"27"</f>
        <v>27</v>
      </c>
      <c r="G566" s="2" t="str">
        <f t="shared" si="111"/>
        <v>E78660</v>
      </c>
      <c r="H566" s="2" t="str">
        <f t="shared" si="112"/>
        <v>가톨릭대학교 서울성모병원</v>
      </c>
      <c r="I566" s="2" t="str">
        <f>"배치후"</f>
        <v>배치후</v>
      </c>
    </row>
    <row r="567" spans="1:9" x14ac:dyDescent="0.3">
      <c r="A567" s="2" t="str">
        <f t="shared" si="120"/>
        <v>20240926</v>
      </c>
      <c r="B567" s="2" t="str">
        <f>"39686832"</f>
        <v>39686832</v>
      </c>
      <c r="C567" s="2" t="str">
        <f>"조유진"</f>
        <v>조유진</v>
      </c>
      <c r="D567" s="2" t="str">
        <f>"F"</f>
        <v>F</v>
      </c>
      <c r="E567" s="2" t="str">
        <f>"19970814"</f>
        <v>19970814</v>
      </c>
      <c r="F567" s="2" t="str">
        <f>"27"</f>
        <v>27</v>
      </c>
      <c r="G567" s="2" t="str">
        <f t="shared" si="111"/>
        <v>E78660</v>
      </c>
      <c r="H567" s="2" t="str">
        <f t="shared" si="112"/>
        <v>가톨릭대학교 서울성모병원</v>
      </c>
      <c r="I567" s="2" t="str">
        <f>"배치후"</f>
        <v>배치후</v>
      </c>
    </row>
    <row r="568" spans="1:9" x14ac:dyDescent="0.3">
      <c r="A568" s="2" t="str">
        <f t="shared" si="120"/>
        <v>20240926</v>
      </c>
      <c r="B568" s="2" t="str">
        <f>"39688721"</f>
        <v>39688721</v>
      </c>
      <c r="C568" s="2" t="str">
        <f>"박영진"</f>
        <v>박영진</v>
      </c>
      <c r="D568" s="2" t="str">
        <f>"F"</f>
        <v>F</v>
      </c>
      <c r="E568" s="2" t="str">
        <f>"19990905"</f>
        <v>19990905</v>
      </c>
      <c r="F568" s="2" t="str">
        <f>"25"</f>
        <v>25</v>
      </c>
      <c r="G568" s="2" t="str">
        <f t="shared" si="111"/>
        <v>E78660</v>
      </c>
      <c r="H568" s="2" t="str">
        <f t="shared" si="112"/>
        <v>가톨릭대학교 서울성모병원</v>
      </c>
      <c r="I568" s="2" t="str">
        <f>"배치후"</f>
        <v>배치후</v>
      </c>
    </row>
    <row r="569" spans="1:9" x14ac:dyDescent="0.3">
      <c r="A569" s="2" t="str">
        <f t="shared" si="120"/>
        <v>20240926</v>
      </c>
      <c r="B569" s="2" t="str">
        <f>"40226343"</f>
        <v>40226343</v>
      </c>
      <c r="C569" s="2" t="str">
        <f>"김동령"</f>
        <v>김동령</v>
      </c>
      <c r="D569" s="2" t="str">
        <f>"M"</f>
        <v>M</v>
      </c>
      <c r="E569" s="2" t="str">
        <f>"19970618"</f>
        <v>19970618</v>
      </c>
      <c r="F569" s="2" t="str">
        <f>"27"</f>
        <v>27</v>
      </c>
      <c r="G569" s="2" t="str">
        <f t="shared" si="111"/>
        <v>E78660</v>
      </c>
      <c r="H569" s="2" t="str">
        <f t="shared" si="112"/>
        <v>가톨릭대학교 서울성모병원</v>
      </c>
      <c r="I569" s="2" t="str">
        <f>"배치전"</f>
        <v>배치전</v>
      </c>
    </row>
    <row r="570" spans="1:9" x14ac:dyDescent="0.3">
      <c r="A570" s="2" t="str">
        <f t="shared" ref="A570:A584" si="121">"20240930"</f>
        <v>20240930</v>
      </c>
      <c r="B570" s="2" t="str">
        <f>"11723665"</f>
        <v>11723665</v>
      </c>
      <c r="C570" s="2" t="str">
        <f>"김중석"</f>
        <v>김중석</v>
      </c>
      <c r="D570" s="2" t="str">
        <f>"M"</f>
        <v>M</v>
      </c>
      <c r="E570" s="2" t="str">
        <f>"19720819"</f>
        <v>19720819</v>
      </c>
      <c r="F570" s="2" t="str">
        <f>"52"</f>
        <v>52</v>
      </c>
      <c r="G570" s="2" t="str">
        <f t="shared" si="111"/>
        <v>E78660</v>
      </c>
      <c r="H570" s="2" t="str">
        <f t="shared" si="112"/>
        <v>가톨릭대학교 서울성모병원</v>
      </c>
      <c r="I570" s="2" t="str">
        <f t="shared" ref="I570:I575" si="122">"특수"</f>
        <v>특수</v>
      </c>
    </row>
    <row r="571" spans="1:9" x14ac:dyDescent="0.3">
      <c r="A571" s="2" t="str">
        <f t="shared" si="121"/>
        <v>20240930</v>
      </c>
      <c r="B571" s="2" t="str">
        <f>"18897880"</f>
        <v>18897880</v>
      </c>
      <c r="C571" s="2" t="str">
        <f>"송은영"</f>
        <v>송은영</v>
      </c>
      <c r="D571" s="2" t="str">
        <f>"F"</f>
        <v>F</v>
      </c>
      <c r="E571" s="2" t="str">
        <f>"19800312"</f>
        <v>19800312</v>
      </c>
      <c r="F571" s="2" t="str">
        <f>"44"</f>
        <v>44</v>
      </c>
      <c r="G571" s="2" t="str">
        <f t="shared" si="111"/>
        <v>E78660</v>
      </c>
      <c r="H571" s="2" t="str">
        <f t="shared" si="112"/>
        <v>가톨릭대학교 서울성모병원</v>
      </c>
      <c r="I571" s="2" t="str">
        <f t="shared" si="122"/>
        <v>특수</v>
      </c>
    </row>
    <row r="572" spans="1:9" x14ac:dyDescent="0.3">
      <c r="A572" s="2" t="str">
        <f t="shared" si="121"/>
        <v>20240930</v>
      </c>
      <c r="B572" s="2" t="str">
        <f>"19125180"</f>
        <v>19125180</v>
      </c>
      <c r="C572" s="2" t="str">
        <f>"최효건"</f>
        <v>최효건</v>
      </c>
      <c r="D572" s="2" t="str">
        <f>"M"</f>
        <v>M</v>
      </c>
      <c r="E572" s="2" t="str">
        <f>"19780418"</f>
        <v>19780418</v>
      </c>
      <c r="F572" s="2" t="str">
        <f>"46"</f>
        <v>46</v>
      </c>
      <c r="G572" s="2" t="str">
        <f t="shared" si="111"/>
        <v>E78660</v>
      </c>
      <c r="H572" s="2" t="str">
        <f t="shared" si="112"/>
        <v>가톨릭대학교 서울성모병원</v>
      </c>
      <c r="I572" s="2" t="str">
        <f t="shared" si="122"/>
        <v>특수</v>
      </c>
    </row>
    <row r="573" spans="1:9" x14ac:dyDescent="0.3">
      <c r="A573" s="2" t="str">
        <f t="shared" si="121"/>
        <v>20240930</v>
      </c>
      <c r="B573" s="2" t="str">
        <f>"21016334"</f>
        <v>21016334</v>
      </c>
      <c r="C573" s="2" t="str">
        <f>"김명종"</f>
        <v>김명종</v>
      </c>
      <c r="D573" s="2" t="str">
        <f>"M"</f>
        <v>M</v>
      </c>
      <c r="E573" s="2" t="str">
        <f>"19720911"</f>
        <v>19720911</v>
      </c>
      <c r="F573" s="2" t="str">
        <f>"52"</f>
        <v>52</v>
      </c>
      <c r="G573" s="2" t="str">
        <f t="shared" si="111"/>
        <v>E78660</v>
      </c>
      <c r="H573" s="2" t="str">
        <f t="shared" si="112"/>
        <v>가톨릭대학교 서울성모병원</v>
      </c>
      <c r="I573" s="2" t="str">
        <f t="shared" si="122"/>
        <v>특수</v>
      </c>
    </row>
    <row r="574" spans="1:9" x14ac:dyDescent="0.3">
      <c r="A574" s="2" t="str">
        <f t="shared" si="121"/>
        <v>20240930</v>
      </c>
      <c r="B574" s="2" t="str">
        <f>"21502823"</f>
        <v>21502823</v>
      </c>
      <c r="C574" s="2" t="str">
        <f>"정현영"</f>
        <v>정현영</v>
      </c>
      <c r="D574" s="2" t="str">
        <f>"F"</f>
        <v>F</v>
      </c>
      <c r="E574" s="2" t="str">
        <f>"19810709"</f>
        <v>19810709</v>
      </c>
      <c r="F574" s="2" t="str">
        <f>"43"</f>
        <v>43</v>
      </c>
      <c r="G574" s="2" t="str">
        <f t="shared" si="111"/>
        <v>E78660</v>
      </c>
      <c r="H574" s="2" t="str">
        <f t="shared" si="112"/>
        <v>가톨릭대학교 서울성모병원</v>
      </c>
      <c r="I574" s="2" t="str">
        <f t="shared" si="122"/>
        <v>특수</v>
      </c>
    </row>
    <row r="575" spans="1:9" x14ac:dyDescent="0.3">
      <c r="A575" s="2" t="str">
        <f t="shared" si="121"/>
        <v>20240930</v>
      </c>
      <c r="B575" s="2" t="str">
        <f>"26630081"</f>
        <v>26630081</v>
      </c>
      <c r="C575" s="2" t="str">
        <f>"이슬아"</f>
        <v>이슬아</v>
      </c>
      <c r="D575" s="2" t="str">
        <f>"F"</f>
        <v>F</v>
      </c>
      <c r="E575" s="2" t="str">
        <f>"19920116"</f>
        <v>19920116</v>
      </c>
      <c r="F575" s="2" t="str">
        <f>"32"</f>
        <v>32</v>
      </c>
      <c r="G575" s="2" t="str">
        <f t="shared" si="111"/>
        <v>E78660</v>
      </c>
      <c r="H575" s="2" t="str">
        <f t="shared" si="112"/>
        <v>가톨릭대학교 서울성모병원</v>
      </c>
      <c r="I575" s="2" t="str">
        <f t="shared" si="122"/>
        <v>특수</v>
      </c>
    </row>
    <row r="576" spans="1:9" x14ac:dyDescent="0.3">
      <c r="A576" s="2" t="str">
        <f t="shared" si="121"/>
        <v>20240930</v>
      </c>
      <c r="B576" s="2" t="str">
        <f>"35142103"</f>
        <v>35142103</v>
      </c>
      <c r="C576" s="2" t="str">
        <f>"문은지"</f>
        <v>문은지</v>
      </c>
      <c r="D576" s="2" t="str">
        <f>"F"</f>
        <v>F</v>
      </c>
      <c r="E576" s="2" t="str">
        <f>"20010903"</f>
        <v>20010903</v>
      </c>
      <c r="F576" s="2" t="str">
        <f>"23"</f>
        <v>23</v>
      </c>
      <c r="G576" s="2" t="str">
        <f t="shared" si="111"/>
        <v>E78660</v>
      </c>
      <c r="H576" s="2" t="str">
        <f t="shared" si="112"/>
        <v>가톨릭대학교 서울성모병원</v>
      </c>
      <c r="I576" s="2" t="str">
        <f>"배치전"</f>
        <v>배치전</v>
      </c>
    </row>
    <row r="577" spans="1:9" x14ac:dyDescent="0.3">
      <c r="A577" s="2" t="str">
        <f t="shared" si="121"/>
        <v>20240930</v>
      </c>
      <c r="B577" s="2" t="str">
        <f>"35143301"</f>
        <v>35143301</v>
      </c>
      <c r="C577" s="2" t="str">
        <f>"천지수"</f>
        <v>천지수</v>
      </c>
      <c r="D577" s="2" t="str">
        <f>"F"</f>
        <v>F</v>
      </c>
      <c r="E577" s="2" t="str">
        <f>"20010208"</f>
        <v>20010208</v>
      </c>
      <c r="F577" s="2" t="str">
        <f>"23"</f>
        <v>23</v>
      </c>
      <c r="G577" s="2" t="str">
        <f t="shared" si="111"/>
        <v>E78660</v>
      </c>
      <c r="H577" s="2" t="str">
        <f t="shared" si="112"/>
        <v>가톨릭대학교 서울성모병원</v>
      </c>
      <c r="I577" s="2" t="str">
        <f>"배치전"</f>
        <v>배치전</v>
      </c>
    </row>
    <row r="578" spans="1:9" x14ac:dyDescent="0.3">
      <c r="A578" s="2" t="str">
        <f t="shared" si="121"/>
        <v>20240930</v>
      </c>
      <c r="B578" s="2" t="str">
        <f>"37017305"</f>
        <v>37017305</v>
      </c>
      <c r="C578" s="2" t="str">
        <f>"이정우"</f>
        <v>이정우</v>
      </c>
      <c r="D578" s="2" t="str">
        <f>"M"</f>
        <v>M</v>
      </c>
      <c r="E578" s="2" t="str">
        <f>"19971222"</f>
        <v>19971222</v>
      </c>
      <c r="F578" s="2" t="str">
        <f>"26"</f>
        <v>26</v>
      </c>
      <c r="G578" s="2" t="str">
        <f t="shared" ref="G578:G631" si="123">"E78660"</f>
        <v>E78660</v>
      </c>
      <c r="H578" s="2" t="str">
        <f t="shared" ref="H578:H631" si="124">"가톨릭대학교 서울성모병원"</f>
        <v>가톨릭대학교 서울성모병원</v>
      </c>
      <c r="I578" s="2" t="str">
        <f>"특수"</f>
        <v>특수</v>
      </c>
    </row>
    <row r="579" spans="1:9" x14ac:dyDescent="0.3">
      <c r="A579" s="2" t="str">
        <f t="shared" si="121"/>
        <v>20240930</v>
      </c>
      <c r="B579" s="2" t="str">
        <f>"37542882"</f>
        <v>37542882</v>
      </c>
      <c r="C579" s="2" t="str">
        <f>"정수민"</f>
        <v>정수민</v>
      </c>
      <c r="D579" s="2" t="str">
        <f>"F"</f>
        <v>F</v>
      </c>
      <c r="E579" s="2" t="str">
        <f>"19970531"</f>
        <v>19970531</v>
      </c>
      <c r="F579" s="2" t="str">
        <f>"27"</f>
        <v>27</v>
      </c>
      <c r="G579" s="2" t="str">
        <f t="shared" si="123"/>
        <v>E78660</v>
      </c>
      <c r="H579" s="2" t="str">
        <f t="shared" si="124"/>
        <v>가톨릭대학교 서울성모병원</v>
      </c>
      <c r="I579" s="2" t="str">
        <f>"특수"</f>
        <v>특수</v>
      </c>
    </row>
    <row r="580" spans="1:9" x14ac:dyDescent="0.3">
      <c r="A580" s="2" t="str">
        <f t="shared" si="121"/>
        <v>20240930</v>
      </c>
      <c r="B580" s="2" t="str">
        <f>"39713822"</f>
        <v>39713822</v>
      </c>
      <c r="C580" s="2" t="str">
        <f>"박정훈"</f>
        <v>박정훈</v>
      </c>
      <c r="D580" s="2" t="str">
        <f>"M"</f>
        <v>M</v>
      </c>
      <c r="E580" s="2" t="str">
        <f>"19910815"</f>
        <v>19910815</v>
      </c>
      <c r="F580" s="2" t="str">
        <f>"33"</f>
        <v>33</v>
      </c>
      <c r="G580" s="2" t="str">
        <f t="shared" si="123"/>
        <v>E78660</v>
      </c>
      <c r="H580" s="2" t="str">
        <f t="shared" si="124"/>
        <v>가톨릭대학교 서울성모병원</v>
      </c>
      <c r="I580" s="2" t="str">
        <f>"배치후"</f>
        <v>배치후</v>
      </c>
    </row>
    <row r="581" spans="1:9" x14ac:dyDescent="0.3">
      <c r="A581" s="2" t="str">
        <f t="shared" si="121"/>
        <v>20240930</v>
      </c>
      <c r="B581" s="2" t="str">
        <f>"40189434"</f>
        <v>40189434</v>
      </c>
      <c r="C581" s="2" t="str">
        <f>"박해용"</f>
        <v>박해용</v>
      </c>
      <c r="D581" s="2" t="str">
        <f>"M"</f>
        <v>M</v>
      </c>
      <c r="E581" s="2" t="str">
        <f>"20000107"</f>
        <v>20000107</v>
      </c>
      <c r="F581" s="2" t="str">
        <f>"24"</f>
        <v>24</v>
      </c>
      <c r="G581" s="2" t="str">
        <f t="shared" si="123"/>
        <v>E78660</v>
      </c>
      <c r="H581" s="2" t="str">
        <f t="shared" si="124"/>
        <v>가톨릭대학교 서울성모병원</v>
      </c>
      <c r="I581" s="2" t="str">
        <f>"배치전"</f>
        <v>배치전</v>
      </c>
    </row>
    <row r="582" spans="1:9" x14ac:dyDescent="0.3">
      <c r="A582" s="2" t="str">
        <f t="shared" si="121"/>
        <v>20240930</v>
      </c>
      <c r="B582" s="2" t="str">
        <f>"40291243"</f>
        <v>40291243</v>
      </c>
      <c r="C582" s="2" t="str">
        <f>"이선아"</f>
        <v>이선아</v>
      </c>
      <c r="D582" s="2" t="str">
        <f t="shared" ref="D582:D589" si="125">"F"</f>
        <v>F</v>
      </c>
      <c r="E582" s="2" t="str">
        <f>"19980326"</f>
        <v>19980326</v>
      </c>
      <c r="F582" s="2" t="str">
        <f>"26"</f>
        <v>26</v>
      </c>
      <c r="G582" s="2" t="str">
        <f t="shared" si="123"/>
        <v>E78660</v>
      </c>
      <c r="H582" s="2" t="str">
        <f t="shared" si="124"/>
        <v>가톨릭대학교 서울성모병원</v>
      </c>
      <c r="I582" s="2" t="str">
        <f>"배치전"</f>
        <v>배치전</v>
      </c>
    </row>
    <row r="583" spans="1:9" x14ac:dyDescent="0.3">
      <c r="A583" s="2" t="str">
        <f t="shared" si="121"/>
        <v>20240930</v>
      </c>
      <c r="B583" s="2" t="str">
        <f>"40291252"</f>
        <v>40291252</v>
      </c>
      <c r="C583" s="2" t="str">
        <f>"황수아"</f>
        <v>황수아</v>
      </c>
      <c r="D583" s="2" t="str">
        <f t="shared" si="125"/>
        <v>F</v>
      </c>
      <c r="E583" s="2" t="str">
        <f>"19980926"</f>
        <v>19980926</v>
      </c>
      <c r="F583" s="2" t="str">
        <f>"26"</f>
        <v>26</v>
      </c>
      <c r="G583" s="2" t="str">
        <f t="shared" si="123"/>
        <v>E78660</v>
      </c>
      <c r="H583" s="2" t="str">
        <f t="shared" si="124"/>
        <v>가톨릭대학교 서울성모병원</v>
      </c>
      <c r="I583" s="2" t="str">
        <f>"배치전"</f>
        <v>배치전</v>
      </c>
    </row>
    <row r="584" spans="1:9" x14ac:dyDescent="0.3">
      <c r="A584" s="2" t="str">
        <f t="shared" si="121"/>
        <v>20240930</v>
      </c>
      <c r="B584" s="2" t="str">
        <f>"8690437"</f>
        <v>8690437</v>
      </c>
      <c r="C584" s="2" t="str">
        <f>"이승은"</f>
        <v>이승은</v>
      </c>
      <c r="D584" s="2" t="str">
        <f t="shared" si="125"/>
        <v>F</v>
      </c>
      <c r="E584" s="2" t="str">
        <f>"19700822"</f>
        <v>19700822</v>
      </c>
      <c r="F584" s="2" t="str">
        <f>"54"</f>
        <v>54</v>
      </c>
      <c r="G584" s="2" t="str">
        <f t="shared" si="123"/>
        <v>E78660</v>
      </c>
      <c r="H584" s="2" t="str">
        <f t="shared" si="124"/>
        <v>가톨릭대학교 서울성모병원</v>
      </c>
      <c r="I584" s="2" t="str">
        <f t="shared" ref="I584:I590" si="126">"특수"</f>
        <v>특수</v>
      </c>
    </row>
    <row r="585" spans="1:9" x14ac:dyDescent="0.3">
      <c r="A585" s="2" t="str">
        <f t="shared" ref="A585:A591" si="127">"20241001"</f>
        <v>20241001</v>
      </c>
      <c r="B585" s="2" t="str">
        <f>"24231694"</f>
        <v>24231694</v>
      </c>
      <c r="C585" s="2" t="str">
        <f>"박윤미"</f>
        <v>박윤미</v>
      </c>
      <c r="D585" s="2" t="str">
        <f t="shared" si="125"/>
        <v>F</v>
      </c>
      <c r="E585" s="2" t="str">
        <f>"19820910"</f>
        <v>19820910</v>
      </c>
      <c r="F585" s="2" t="str">
        <f>"42"</f>
        <v>42</v>
      </c>
      <c r="G585" s="2" t="str">
        <f t="shared" si="123"/>
        <v>E78660</v>
      </c>
      <c r="H585" s="2" t="str">
        <f t="shared" si="124"/>
        <v>가톨릭대학교 서울성모병원</v>
      </c>
      <c r="I585" s="2" t="str">
        <f t="shared" si="126"/>
        <v>특수</v>
      </c>
    </row>
    <row r="586" spans="1:9" x14ac:dyDescent="0.3">
      <c r="A586" s="2" t="str">
        <f t="shared" si="127"/>
        <v>20241001</v>
      </c>
      <c r="B586" s="2" t="str">
        <f>"26068972"</f>
        <v>26068972</v>
      </c>
      <c r="C586" s="2" t="str">
        <f>"최명신"</f>
        <v>최명신</v>
      </c>
      <c r="D586" s="2" t="str">
        <f t="shared" si="125"/>
        <v>F</v>
      </c>
      <c r="E586" s="2" t="str">
        <f>"19890428"</f>
        <v>19890428</v>
      </c>
      <c r="F586" s="2" t="str">
        <f>"35"</f>
        <v>35</v>
      </c>
      <c r="G586" s="2" t="str">
        <f t="shared" si="123"/>
        <v>E78660</v>
      </c>
      <c r="H586" s="2" t="str">
        <f t="shared" si="124"/>
        <v>가톨릭대학교 서울성모병원</v>
      </c>
      <c r="I586" s="2" t="str">
        <f t="shared" si="126"/>
        <v>특수</v>
      </c>
    </row>
    <row r="587" spans="1:9" x14ac:dyDescent="0.3">
      <c r="A587" s="2" t="str">
        <f t="shared" si="127"/>
        <v>20241001</v>
      </c>
      <c r="B587" s="2" t="str">
        <f>"32189361"</f>
        <v>32189361</v>
      </c>
      <c r="C587" s="2" t="str">
        <f>"이은내"</f>
        <v>이은내</v>
      </c>
      <c r="D587" s="2" t="str">
        <f t="shared" si="125"/>
        <v>F</v>
      </c>
      <c r="E587" s="2" t="str">
        <f>"19940122"</f>
        <v>19940122</v>
      </c>
      <c r="F587" s="2" t="str">
        <f>"30"</f>
        <v>30</v>
      </c>
      <c r="G587" s="2" t="str">
        <f t="shared" si="123"/>
        <v>E78660</v>
      </c>
      <c r="H587" s="2" t="str">
        <f t="shared" si="124"/>
        <v>가톨릭대학교 서울성모병원</v>
      </c>
      <c r="I587" s="2" t="str">
        <f t="shared" si="126"/>
        <v>특수</v>
      </c>
    </row>
    <row r="588" spans="1:9" x14ac:dyDescent="0.3">
      <c r="A588" s="2" t="str">
        <f t="shared" si="127"/>
        <v>20241001</v>
      </c>
      <c r="B588" s="2" t="str">
        <f>"33447916"</f>
        <v>33447916</v>
      </c>
      <c r="C588" s="2" t="str">
        <f>"장은정"</f>
        <v>장은정</v>
      </c>
      <c r="D588" s="2" t="str">
        <f t="shared" si="125"/>
        <v>F</v>
      </c>
      <c r="E588" s="2" t="str">
        <f>"20000612"</f>
        <v>20000612</v>
      </c>
      <c r="F588" s="2" t="str">
        <f>"24"</f>
        <v>24</v>
      </c>
      <c r="G588" s="2" t="str">
        <f t="shared" si="123"/>
        <v>E78660</v>
      </c>
      <c r="H588" s="2" t="str">
        <f t="shared" si="124"/>
        <v>가톨릭대학교 서울성모병원</v>
      </c>
      <c r="I588" s="2" t="str">
        <f t="shared" si="126"/>
        <v>특수</v>
      </c>
    </row>
    <row r="589" spans="1:9" x14ac:dyDescent="0.3">
      <c r="A589" s="2" t="str">
        <f t="shared" si="127"/>
        <v>20241001</v>
      </c>
      <c r="B589" s="2" t="str">
        <f>"37542913"</f>
        <v>37542913</v>
      </c>
      <c r="C589" s="2" t="str">
        <f>"안수아"</f>
        <v>안수아</v>
      </c>
      <c r="D589" s="2" t="str">
        <f t="shared" si="125"/>
        <v>F</v>
      </c>
      <c r="E589" s="2" t="str">
        <f>"20000208"</f>
        <v>20000208</v>
      </c>
      <c r="F589" s="2" t="str">
        <f>"24"</f>
        <v>24</v>
      </c>
      <c r="G589" s="2" t="str">
        <f t="shared" si="123"/>
        <v>E78660</v>
      </c>
      <c r="H589" s="2" t="str">
        <f t="shared" si="124"/>
        <v>가톨릭대학교 서울성모병원</v>
      </c>
      <c r="I589" s="2" t="str">
        <f t="shared" si="126"/>
        <v>특수</v>
      </c>
    </row>
    <row r="590" spans="1:9" x14ac:dyDescent="0.3">
      <c r="A590" s="2" t="str">
        <f t="shared" si="127"/>
        <v>20241001</v>
      </c>
      <c r="B590" s="2" t="str">
        <f>"38020124"</f>
        <v>38020124</v>
      </c>
      <c r="C590" s="2" t="str">
        <f>"이재진"</f>
        <v>이재진</v>
      </c>
      <c r="D590" s="2" t="str">
        <f>"M"</f>
        <v>M</v>
      </c>
      <c r="E590" s="2" t="str">
        <f>"19950803"</f>
        <v>19950803</v>
      </c>
      <c r="F590" s="2" t="str">
        <f>"29"</f>
        <v>29</v>
      </c>
      <c r="G590" s="2" t="str">
        <f t="shared" si="123"/>
        <v>E78660</v>
      </c>
      <c r="H590" s="2" t="str">
        <f t="shared" si="124"/>
        <v>가톨릭대학교 서울성모병원</v>
      </c>
      <c r="I590" s="2" t="str">
        <f t="shared" si="126"/>
        <v>특수</v>
      </c>
    </row>
    <row r="591" spans="1:9" x14ac:dyDescent="0.3">
      <c r="A591" s="2" t="str">
        <f t="shared" si="127"/>
        <v>20241001</v>
      </c>
      <c r="B591" s="2" t="str">
        <f>"39416971"</f>
        <v>39416971</v>
      </c>
      <c r="C591" s="2" t="str">
        <f>"이은정"</f>
        <v>이은정</v>
      </c>
      <c r="D591" s="2" t="str">
        <f>"F"</f>
        <v>F</v>
      </c>
      <c r="E591" s="2" t="str">
        <f>"20001218"</f>
        <v>20001218</v>
      </c>
      <c r="F591" s="2" t="str">
        <f>"23"</f>
        <v>23</v>
      </c>
      <c r="G591" s="2" t="str">
        <f t="shared" si="123"/>
        <v>E78660</v>
      </c>
      <c r="H591" s="2" t="str">
        <f t="shared" si="124"/>
        <v>가톨릭대학교 서울성모병원</v>
      </c>
      <c r="I591" s="2" t="str">
        <f>"배치후"</f>
        <v>배치후</v>
      </c>
    </row>
    <row r="592" spans="1:9" x14ac:dyDescent="0.3">
      <c r="A592" s="2" t="str">
        <f t="shared" ref="A592:A599" si="128">"20241002"</f>
        <v>20241002</v>
      </c>
      <c r="B592" s="2" t="str">
        <f>"18473330"</f>
        <v>18473330</v>
      </c>
      <c r="C592" s="2" t="str">
        <f>"홍희자"</f>
        <v>홍희자</v>
      </c>
      <c r="D592" s="2" t="str">
        <f>"F"</f>
        <v>F</v>
      </c>
      <c r="E592" s="2" t="str">
        <f>"19751220"</f>
        <v>19751220</v>
      </c>
      <c r="F592" s="2" t="str">
        <f>"48"</f>
        <v>48</v>
      </c>
      <c r="G592" s="2" t="str">
        <f t="shared" si="123"/>
        <v>E78660</v>
      </c>
      <c r="H592" s="2" t="str">
        <f t="shared" si="124"/>
        <v>가톨릭대학교 서울성모병원</v>
      </c>
      <c r="I592" s="2" t="str">
        <f>"특수"</f>
        <v>특수</v>
      </c>
    </row>
    <row r="593" spans="1:9" x14ac:dyDescent="0.3">
      <c r="A593" s="2" t="str">
        <f t="shared" si="128"/>
        <v>20241002</v>
      </c>
      <c r="B593" s="2" t="str">
        <f>"20874506"</f>
        <v>20874506</v>
      </c>
      <c r="C593" s="2" t="str">
        <f>"박천수"</f>
        <v>박천수</v>
      </c>
      <c r="D593" s="2" t="str">
        <f>"M"</f>
        <v>M</v>
      </c>
      <c r="E593" s="2" t="str">
        <f>"19770713"</f>
        <v>19770713</v>
      </c>
      <c r="F593" s="2" t="str">
        <f>"47"</f>
        <v>47</v>
      </c>
      <c r="G593" s="2" t="str">
        <f t="shared" si="123"/>
        <v>E78660</v>
      </c>
      <c r="H593" s="2" t="str">
        <f t="shared" si="124"/>
        <v>가톨릭대학교 서울성모병원</v>
      </c>
      <c r="I593" s="2" t="str">
        <f>"특수"</f>
        <v>특수</v>
      </c>
    </row>
    <row r="594" spans="1:9" x14ac:dyDescent="0.3">
      <c r="A594" s="2" t="str">
        <f t="shared" si="128"/>
        <v>20241002</v>
      </c>
      <c r="B594" s="2" t="str">
        <f>"33875930"</f>
        <v>33875930</v>
      </c>
      <c r="C594" s="2" t="str">
        <f>"김민경"</f>
        <v>김민경</v>
      </c>
      <c r="D594" s="2" t="str">
        <f>"F"</f>
        <v>F</v>
      </c>
      <c r="E594" s="2" t="str">
        <f>"19940422"</f>
        <v>19940422</v>
      </c>
      <c r="F594" s="2" t="str">
        <f>"30"</f>
        <v>30</v>
      </c>
      <c r="G594" s="2" t="str">
        <f t="shared" si="123"/>
        <v>E78660</v>
      </c>
      <c r="H594" s="2" t="str">
        <f t="shared" si="124"/>
        <v>가톨릭대학교 서울성모병원</v>
      </c>
      <c r="I594" s="2" t="str">
        <f>"특수"</f>
        <v>특수</v>
      </c>
    </row>
    <row r="595" spans="1:9" x14ac:dyDescent="0.3">
      <c r="A595" s="2" t="str">
        <f t="shared" si="128"/>
        <v>20241002</v>
      </c>
      <c r="B595" s="2" t="str">
        <f>"38466611"</f>
        <v>38466611</v>
      </c>
      <c r="C595" s="2" t="str">
        <f>"최소영"</f>
        <v>최소영</v>
      </c>
      <c r="D595" s="2" t="str">
        <f>"F"</f>
        <v>F</v>
      </c>
      <c r="E595" s="2" t="str">
        <f>"19970907"</f>
        <v>19970907</v>
      </c>
      <c r="F595" s="2" t="str">
        <f>"27"</f>
        <v>27</v>
      </c>
      <c r="G595" s="2" t="str">
        <f t="shared" si="123"/>
        <v>E78660</v>
      </c>
      <c r="H595" s="2" t="str">
        <f t="shared" si="124"/>
        <v>가톨릭대학교 서울성모병원</v>
      </c>
      <c r="I595" s="2" t="str">
        <f>"특수"</f>
        <v>특수</v>
      </c>
    </row>
    <row r="596" spans="1:9" x14ac:dyDescent="0.3">
      <c r="A596" s="2" t="str">
        <f t="shared" si="128"/>
        <v>20241002</v>
      </c>
      <c r="B596" s="2" t="str">
        <f>"39508886"</f>
        <v>39508886</v>
      </c>
      <c r="C596" s="2" t="str">
        <f>"서주희"</f>
        <v>서주희</v>
      </c>
      <c r="D596" s="2" t="str">
        <f>"F"</f>
        <v>F</v>
      </c>
      <c r="E596" s="2" t="str">
        <f>"20001208"</f>
        <v>20001208</v>
      </c>
      <c r="F596" s="2" t="str">
        <f>"23"</f>
        <v>23</v>
      </c>
      <c r="G596" s="2" t="str">
        <f t="shared" si="123"/>
        <v>E78660</v>
      </c>
      <c r="H596" s="2" t="str">
        <f t="shared" si="124"/>
        <v>가톨릭대학교 서울성모병원</v>
      </c>
      <c r="I596" s="2" t="str">
        <f>"배치전"</f>
        <v>배치전</v>
      </c>
    </row>
    <row r="597" spans="1:9" x14ac:dyDescent="0.3">
      <c r="A597" s="2" t="str">
        <f t="shared" si="128"/>
        <v>20241002</v>
      </c>
      <c r="B597" s="2" t="str">
        <f>"40227592"</f>
        <v>40227592</v>
      </c>
      <c r="C597" s="2" t="str">
        <f>"안수지"</f>
        <v>안수지</v>
      </c>
      <c r="D597" s="2" t="str">
        <f>"F"</f>
        <v>F</v>
      </c>
      <c r="E597" s="2" t="str">
        <f>"19970723"</f>
        <v>19970723</v>
      </c>
      <c r="F597" s="2" t="str">
        <f>"27"</f>
        <v>27</v>
      </c>
      <c r="G597" s="2" t="str">
        <f t="shared" si="123"/>
        <v>E78660</v>
      </c>
      <c r="H597" s="2" t="str">
        <f t="shared" si="124"/>
        <v>가톨릭대학교 서울성모병원</v>
      </c>
      <c r="I597" s="2" t="str">
        <f>"배치전"</f>
        <v>배치전</v>
      </c>
    </row>
    <row r="598" spans="1:9" x14ac:dyDescent="0.3">
      <c r="A598" s="2" t="str">
        <f t="shared" si="128"/>
        <v>20241002</v>
      </c>
      <c r="B598" s="2" t="str">
        <f>"9266210"</f>
        <v>9266210</v>
      </c>
      <c r="C598" s="2" t="str">
        <f>"김상엽"</f>
        <v>김상엽</v>
      </c>
      <c r="D598" s="2" t="str">
        <f>"M"</f>
        <v>M</v>
      </c>
      <c r="E598" s="2" t="str">
        <f>"19690111"</f>
        <v>19690111</v>
      </c>
      <c r="F598" s="2" t="str">
        <f>"55"</f>
        <v>55</v>
      </c>
      <c r="G598" s="2" t="str">
        <f t="shared" si="123"/>
        <v>E78660</v>
      </c>
      <c r="H598" s="2" t="str">
        <f t="shared" si="124"/>
        <v>가톨릭대학교 서울성모병원</v>
      </c>
      <c r="I598" s="2" t="str">
        <f t="shared" ref="I598:I610" si="129">"특수"</f>
        <v>특수</v>
      </c>
    </row>
    <row r="599" spans="1:9" x14ac:dyDescent="0.3">
      <c r="A599" s="2" t="str">
        <f t="shared" si="128"/>
        <v>20241002</v>
      </c>
      <c r="B599" s="2" t="str">
        <f>"9716799"</f>
        <v>9716799</v>
      </c>
      <c r="C599" s="2" t="str">
        <f>"김명희"</f>
        <v>김명희</v>
      </c>
      <c r="D599" s="2" t="str">
        <f>"F"</f>
        <v>F</v>
      </c>
      <c r="E599" s="2" t="str">
        <f>"19770205"</f>
        <v>19770205</v>
      </c>
      <c r="F599" s="2" t="str">
        <f>"47"</f>
        <v>47</v>
      </c>
      <c r="G599" s="2" t="str">
        <f t="shared" si="123"/>
        <v>E78660</v>
      </c>
      <c r="H599" s="2" t="str">
        <f t="shared" si="124"/>
        <v>가톨릭대학교 서울성모병원</v>
      </c>
      <c r="I599" s="2" t="str">
        <f t="shared" si="129"/>
        <v>특수</v>
      </c>
    </row>
    <row r="600" spans="1:9" x14ac:dyDescent="0.3">
      <c r="A600" s="2" t="str">
        <f t="shared" ref="A600:A611" si="130">"20241007"</f>
        <v>20241007</v>
      </c>
      <c r="B600" s="2" t="str">
        <f>"11836794"</f>
        <v>11836794</v>
      </c>
      <c r="C600" s="2" t="str">
        <f>"박재수"</f>
        <v>박재수</v>
      </c>
      <c r="D600" s="2" t="str">
        <f>"M"</f>
        <v>M</v>
      </c>
      <c r="E600" s="2" t="str">
        <f>"19710407"</f>
        <v>19710407</v>
      </c>
      <c r="F600" s="2" t="str">
        <f>"53"</f>
        <v>53</v>
      </c>
      <c r="G600" s="2" t="str">
        <f t="shared" si="123"/>
        <v>E78660</v>
      </c>
      <c r="H600" s="2" t="str">
        <f t="shared" si="124"/>
        <v>가톨릭대학교 서울성모병원</v>
      </c>
      <c r="I600" s="2" t="str">
        <f t="shared" si="129"/>
        <v>특수</v>
      </c>
    </row>
    <row r="601" spans="1:9" x14ac:dyDescent="0.3">
      <c r="A601" s="2" t="str">
        <f t="shared" si="130"/>
        <v>20241007</v>
      </c>
      <c r="B601" s="2" t="str">
        <f>"17091468"</f>
        <v>17091468</v>
      </c>
      <c r="C601" s="2" t="str">
        <f>"박상미"</f>
        <v>박상미</v>
      </c>
      <c r="D601" s="2" t="str">
        <f>"F"</f>
        <v>F</v>
      </c>
      <c r="E601" s="2" t="str">
        <f>"19810913"</f>
        <v>19810913</v>
      </c>
      <c r="F601" s="2" t="str">
        <f>"43"</f>
        <v>43</v>
      </c>
      <c r="G601" s="2" t="str">
        <f t="shared" si="123"/>
        <v>E78660</v>
      </c>
      <c r="H601" s="2" t="str">
        <f t="shared" si="124"/>
        <v>가톨릭대학교 서울성모병원</v>
      </c>
      <c r="I601" s="2" t="str">
        <f t="shared" si="129"/>
        <v>특수</v>
      </c>
    </row>
    <row r="602" spans="1:9" x14ac:dyDescent="0.3">
      <c r="A602" s="2" t="str">
        <f t="shared" si="130"/>
        <v>20241007</v>
      </c>
      <c r="B602" s="2" t="str">
        <f>"19200202"</f>
        <v>19200202</v>
      </c>
      <c r="C602" s="2" t="str">
        <f>"김태은"</f>
        <v>김태은</v>
      </c>
      <c r="D602" s="2" t="str">
        <f>"F"</f>
        <v>F</v>
      </c>
      <c r="E602" s="2" t="str">
        <f>"19821109"</f>
        <v>19821109</v>
      </c>
      <c r="F602" s="2" t="str">
        <f>"41"</f>
        <v>41</v>
      </c>
      <c r="G602" s="2" t="str">
        <f t="shared" si="123"/>
        <v>E78660</v>
      </c>
      <c r="H602" s="2" t="str">
        <f t="shared" si="124"/>
        <v>가톨릭대학교 서울성모병원</v>
      </c>
      <c r="I602" s="2" t="str">
        <f t="shared" si="129"/>
        <v>특수</v>
      </c>
    </row>
    <row r="603" spans="1:9" x14ac:dyDescent="0.3">
      <c r="A603" s="2" t="str">
        <f t="shared" si="130"/>
        <v>20241007</v>
      </c>
      <c r="B603" s="2" t="str">
        <f>"19651473"</f>
        <v>19651473</v>
      </c>
      <c r="C603" s="2" t="str">
        <f>"박은미"</f>
        <v>박은미</v>
      </c>
      <c r="D603" s="2" t="str">
        <f>"F"</f>
        <v>F</v>
      </c>
      <c r="E603" s="2" t="str">
        <f>"19850120"</f>
        <v>19850120</v>
      </c>
      <c r="F603" s="2" t="str">
        <f>"39"</f>
        <v>39</v>
      </c>
      <c r="G603" s="2" t="str">
        <f t="shared" si="123"/>
        <v>E78660</v>
      </c>
      <c r="H603" s="2" t="str">
        <f t="shared" si="124"/>
        <v>가톨릭대학교 서울성모병원</v>
      </c>
      <c r="I603" s="2" t="str">
        <f t="shared" si="129"/>
        <v>특수</v>
      </c>
    </row>
    <row r="604" spans="1:9" x14ac:dyDescent="0.3">
      <c r="A604" s="2" t="str">
        <f t="shared" si="130"/>
        <v>20241007</v>
      </c>
      <c r="B604" s="2" t="str">
        <f>"21632813"</f>
        <v>21632813</v>
      </c>
      <c r="C604" s="2" t="str">
        <f>"김미란"</f>
        <v>김미란</v>
      </c>
      <c r="D604" s="2" t="str">
        <f>"F"</f>
        <v>F</v>
      </c>
      <c r="E604" s="2" t="str">
        <f>"19841029"</f>
        <v>19841029</v>
      </c>
      <c r="F604" s="2" t="str">
        <f>"39"</f>
        <v>39</v>
      </c>
      <c r="G604" s="2" t="str">
        <f t="shared" si="123"/>
        <v>E78660</v>
      </c>
      <c r="H604" s="2" t="str">
        <f t="shared" si="124"/>
        <v>가톨릭대학교 서울성모병원</v>
      </c>
      <c r="I604" s="2" t="str">
        <f t="shared" si="129"/>
        <v>특수</v>
      </c>
    </row>
    <row r="605" spans="1:9" x14ac:dyDescent="0.3">
      <c r="A605" s="2" t="str">
        <f t="shared" si="130"/>
        <v>20241007</v>
      </c>
      <c r="B605" s="2" t="str">
        <f>"24746282"</f>
        <v>24746282</v>
      </c>
      <c r="C605" s="2" t="str">
        <f>"권현아"</f>
        <v>권현아</v>
      </c>
      <c r="D605" s="2" t="str">
        <f>"F"</f>
        <v>F</v>
      </c>
      <c r="E605" s="2" t="str">
        <f>"19880307"</f>
        <v>19880307</v>
      </c>
      <c r="F605" s="2" t="str">
        <f>"36"</f>
        <v>36</v>
      </c>
      <c r="G605" s="2" t="str">
        <f t="shared" si="123"/>
        <v>E78660</v>
      </c>
      <c r="H605" s="2" t="str">
        <f t="shared" si="124"/>
        <v>가톨릭대학교 서울성모병원</v>
      </c>
      <c r="I605" s="2" t="str">
        <f t="shared" si="129"/>
        <v>특수</v>
      </c>
    </row>
    <row r="606" spans="1:9" x14ac:dyDescent="0.3">
      <c r="A606" s="2" t="str">
        <f t="shared" si="130"/>
        <v>20241007</v>
      </c>
      <c r="B606" s="2" t="str">
        <f>"33638346"</f>
        <v>33638346</v>
      </c>
      <c r="C606" s="2" t="str">
        <f>"변요섭"</f>
        <v>변요섭</v>
      </c>
      <c r="D606" s="2" t="str">
        <f>"M"</f>
        <v>M</v>
      </c>
      <c r="E606" s="2" t="str">
        <f>"19641110"</f>
        <v>19641110</v>
      </c>
      <c r="F606" s="2" t="str">
        <f>"59"</f>
        <v>59</v>
      </c>
      <c r="G606" s="2" t="str">
        <f t="shared" si="123"/>
        <v>E78660</v>
      </c>
      <c r="H606" s="2" t="str">
        <f t="shared" si="124"/>
        <v>가톨릭대학교 서울성모병원</v>
      </c>
      <c r="I606" s="2" t="str">
        <f t="shared" si="129"/>
        <v>특수</v>
      </c>
    </row>
    <row r="607" spans="1:9" x14ac:dyDescent="0.3">
      <c r="A607" s="2" t="str">
        <f t="shared" si="130"/>
        <v>20241007</v>
      </c>
      <c r="B607" s="2" t="str">
        <f>"35739092"</f>
        <v>35739092</v>
      </c>
      <c r="C607" s="2" t="str">
        <f>"기영주"</f>
        <v>기영주</v>
      </c>
      <c r="D607" s="2" t="str">
        <f t="shared" ref="D607:D613" si="131">"F"</f>
        <v>F</v>
      </c>
      <c r="E607" s="2" t="str">
        <f>"19971211"</f>
        <v>19971211</v>
      </c>
      <c r="F607" s="2" t="str">
        <f>"26"</f>
        <v>26</v>
      </c>
      <c r="G607" s="2" t="str">
        <f t="shared" si="123"/>
        <v>E78660</v>
      </c>
      <c r="H607" s="2" t="str">
        <f t="shared" si="124"/>
        <v>가톨릭대학교 서울성모병원</v>
      </c>
      <c r="I607" s="2" t="str">
        <f t="shared" si="129"/>
        <v>특수</v>
      </c>
    </row>
    <row r="608" spans="1:9" x14ac:dyDescent="0.3">
      <c r="A608" s="2" t="str">
        <f t="shared" si="130"/>
        <v>20241007</v>
      </c>
      <c r="B608" s="2" t="str">
        <f>"36351131"</f>
        <v>36351131</v>
      </c>
      <c r="C608" s="2" t="str">
        <f>"서혜지"</f>
        <v>서혜지</v>
      </c>
      <c r="D608" s="2" t="str">
        <f t="shared" si="131"/>
        <v>F</v>
      </c>
      <c r="E608" s="2" t="str">
        <f>"19970315"</f>
        <v>19970315</v>
      </c>
      <c r="F608" s="2" t="str">
        <f>"27"</f>
        <v>27</v>
      </c>
      <c r="G608" s="2" t="str">
        <f t="shared" si="123"/>
        <v>E78660</v>
      </c>
      <c r="H608" s="2" t="str">
        <f t="shared" si="124"/>
        <v>가톨릭대학교 서울성모병원</v>
      </c>
      <c r="I608" s="2" t="str">
        <f t="shared" si="129"/>
        <v>특수</v>
      </c>
    </row>
    <row r="609" spans="1:9" x14ac:dyDescent="0.3">
      <c r="A609" s="2" t="str">
        <f t="shared" si="130"/>
        <v>20241007</v>
      </c>
      <c r="B609" s="2" t="str">
        <f>"36935522"</f>
        <v>36935522</v>
      </c>
      <c r="C609" s="2" t="str">
        <f>"김시현"</f>
        <v>김시현</v>
      </c>
      <c r="D609" s="2" t="str">
        <f t="shared" si="131"/>
        <v>F</v>
      </c>
      <c r="E609" s="2" t="str">
        <f>"19990307"</f>
        <v>19990307</v>
      </c>
      <c r="F609" s="2" t="str">
        <f>"25"</f>
        <v>25</v>
      </c>
      <c r="G609" s="2" t="str">
        <f t="shared" si="123"/>
        <v>E78660</v>
      </c>
      <c r="H609" s="2" t="str">
        <f t="shared" si="124"/>
        <v>가톨릭대학교 서울성모병원</v>
      </c>
      <c r="I609" s="2" t="str">
        <f t="shared" si="129"/>
        <v>특수</v>
      </c>
    </row>
    <row r="610" spans="1:9" x14ac:dyDescent="0.3">
      <c r="A610" s="2" t="str">
        <f t="shared" si="130"/>
        <v>20241007</v>
      </c>
      <c r="B610" s="2" t="str">
        <f>"38084705"</f>
        <v>38084705</v>
      </c>
      <c r="C610" s="2" t="str">
        <f>"황지원"</f>
        <v>황지원</v>
      </c>
      <c r="D610" s="2" t="str">
        <f t="shared" si="131"/>
        <v>F</v>
      </c>
      <c r="E610" s="2" t="str">
        <f>"19960221"</f>
        <v>19960221</v>
      </c>
      <c r="F610" s="2" t="str">
        <f>"28"</f>
        <v>28</v>
      </c>
      <c r="G610" s="2" t="str">
        <f t="shared" si="123"/>
        <v>E78660</v>
      </c>
      <c r="H610" s="2" t="str">
        <f t="shared" si="124"/>
        <v>가톨릭대학교 서울성모병원</v>
      </c>
      <c r="I610" s="2" t="str">
        <f t="shared" si="129"/>
        <v>특수</v>
      </c>
    </row>
    <row r="611" spans="1:9" x14ac:dyDescent="0.3">
      <c r="A611" s="2" t="str">
        <f t="shared" si="130"/>
        <v>20241007</v>
      </c>
      <c r="B611" s="2" t="str">
        <f>"39283413"</f>
        <v>39283413</v>
      </c>
      <c r="C611" s="2" t="str">
        <f>"박아영"</f>
        <v>박아영</v>
      </c>
      <c r="D611" s="2" t="str">
        <f t="shared" si="131"/>
        <v>F</v>
      </c>
      <c r="E611" s="2" t="str">
        <f>"19991219"</f>
        <v>19991219</v>
      </c>
      <c r="F611" s="2" t="str">
        <f>"24"</f>
        <v>24</v>
      </c>
      <c r="G611" s="2" t="str">
        <f t="shared" si="123"/>
        <v>E78660</v>
      </c>
      <c r="H611" s="2" t="str">
        <f t="shared" si="124"/>
        <v>가톨릭대학교 서울성모병원</v>
      </c>
      <c r="I611" s="2" t="str">
        <f>"배치후"</f>
        <v>배치후</v>
      </c>
    </row>
    <row r="612" spans="1:9" x14ac:dyDescent="0.3">
      <c r="A612" s="2" t="str">
        <f t="shared" ref="A612:A619" si="132">"20241008"</f>
        <v>20241008</v>
      </c>
      <c r="B612" s="2" t="str">
        <f>"21108071"</f>
        <v>21108071</v>
      </c>
      <c r="C612" s="2" t="str">
        <f>"김옥선"</f>
        <v>김옥선</v>
      </c>
      <c r="D612" s="2" t="str">
        <f t="shared" si="131"/>
        <v>F</v>
      </c>
      <c r="E612" s="2" t="str">
        <f>"19810625"</f>
        <v>19810625</v>
      </c>
      <c r="F612" s="2" t="str">
        <f>"43"</f>
        <v>43</v>
      </c>
      <c r="G612" s="2" t="str">
        <f t="shared" si="123"/>
        <v>E78660</v>
      </c>
      <c r="H612" s="2" t="str">
        <f t="shared" si="124"/>
        <v>가톨릭대학교 서울성모병원</v>
      </c>
      <c r="I612" s="2" t="str">
        <f t="shared" ref="I612:I636" si="133">"특수"</f>
        <v>특수</v>
      </c>
    </row>
    <row r="613" spans="1:9" x14ac:dyDescent="0.3">
      <c r="A613" s="2" t="str">
        <f t="shared" si="132"/>
        <v>20241008</v>
      </c>
      <c r="B613" s="2" t="str">
        <f>"23756551"</f>
        <v>23756551</v>
      </c>
      <c r="C613" s="2" t="str">
        <f>"이부경"</f>
        <v>이부경</v>
      </c>
      <c r="D613" s="2" t="str">
        <f t="shared" si="131"/>
        <v>F</v>
      </c>
      <c r="E613" s="2" t="str">
        <f>"19871211"</f>
        <v>19871211</v>
      </c>
      <c r="F613" s="2" t="str">
        <f>"36"</f>
        <v>36</v>
      </c>
      <c r="G613" s="2" t="str">
        <f t="shared" si="123"/>
        <v>E78660</v>
      </c>
      <c r="H613" s="2" t="str">
        <f t="shared" si="124"/>
        <v>가톨릭대학교 서울성모병원</v>
      </c>
      <c r="I613" s="2" t="str">
        <f t="shared" si="133"/>
        <v>특수</v>
      </c>
    </row>
    <row r="614" spans="1:9" x14ac:dyDescent="0.3">
      <c r="A614" s="2" t="str">
        <f t="shared" si="132"/>
        <v>20241008</v>
      </c>
      <c r="B614" s="2" t="str">
        <f>"24963014"</f>
        <v>24963014</v>
      </c>
      <c r="C614" s="2" t="str">
        <f>"오형석"</f>
        <v>오형석</v>
      </c>
      <c r="D614" s="2" t="str">
        <f>"M"</f>
        <v>M</v>
      </c>
      <c r="E614" s="2" t="str">
        <f>"19850328"</f>
        <v>19850328</v>
      </c>
      <c r="F614" s="2" t="str">
        <f>"39"</f>
        <v>39</v>
      </c>
      <c r="G614" s="2" t="str">
        <f t="shared" si="123"/>
        <v>E78660</v>
      </c>
      <c r="H614" s="2" t="str">
        <f t="shared" si="124"/>
        <v>가톨릭대학교 서울성모병원</v>
      </c>
      <c r="I614" s="2" t="str">
        <f t="shared" si="133"/>
        <v>특수</v>
      </c>
    </row>
    <row r="615" spans="1:9" x14ac:dyDescent="0.3">
      <c r="A615" s="2" t="str">
        <f t="shared" si="132"/>
        <v>20241008</v>
      </c>
      <c r="B615" s="2" t="str">
        <f>"25252251"</f>
        <v>25252251</v>
      </c>
      <c r="C615" s="2" t="str">
        <f>"박보영"</f>
        <v>박보영</v>
      </c>
      <c r="D615" s="2" t="str">
        <f t="shared" ref="D615:D625" si="134">"F"</f>
        <v>F</v>
      </c>
      <c r="E615" s="2" t="str">
        <f>"19871208"</f>
        <v>19871208</v>
      </c>
      <c r="F615" s="2" t="str">
        <f>"36"</f>
        <v>36</v>
      </c>
      <c r="G615" s="2" t="str">
        <f t="shared" si="123"/>
        <v>E78660</v>
      </c>
      <c r="H615" s="2" t="str">
        <f t="shared" si="124"/>
        <v>가톨릭대학교 서울성모병원</v>
      </c>
      <c r="I615" s="2" t="str">
        <f t="shared" si="133"/>
        <v>특수</v>
      </c>
    </row>
    <row r="616" spans="1:9" x14ac:dyDescent="0.3">
      <c r="A616" s="2" t="str">
        <f t="shared" si="132"/>
        <v>20241008</v>
      </c>
      <c r="B616" s="2" t="str">
        <f>"25553084"</f>
        <v>25553084</v>
      </c>
      <c r="C616" s="2" t="str">
        <f>"윤미옥"</f>
        <v>윤미옥</v>
      </c>
      <c r="D616" s="2" t="str">
        <f t="shared" si="134"/>
        <v>F</v>
      </c>
      <c r="E616" s="2" t="str">
        <f>"19860607"</f>
        <v>19860607</v>
      </c>
      <c r="F616" s="2" t="str">
        <f>"38"</f>
        <v>38</v>
      </c>
      <c r="G616" s="2" t="str">
        <f t="shared" si="123"/>
        <v>E78660</v>
      </c>
      <c r="H616" s="2" t="str">
        <f t="shared" si="124"/>
        <v>가톨릭대학교 서울성모병원</v>
      </c>
      <c r="I616" s="2" t="str">
        <f t="shared" si="133"/>
        <v>특수</v>
      </c>
    </row>
    <row r="617" spans="1:9" x14ac:dyDescent="0.3">
      <c r="A617" s="2" t="str">
        <f t="shared" si="132"/>
        <v>20241008</v>
      </c>
      <c r="B617" s="2" t="str">
        <f>"33302322"</f>
        <v>33302322</v>
      </c>
      <c r="C617" s="2" t="str">
        <f>"김종미"</f>
        <v>김종미</v>
      </c>
      <c r="D617" s="2" t="str">
        <f t="shared" si="134"/>
        <v>F</v>
      </c>
      <c r="E617" s="2" t="str">
        <f>"19790325"</f>
        <v>19790325</v>
      </c>
      <c r="F617" s="2" t="str">
        <f>"45"</f>
        <v>45</v>
      </c>
      <c r="G617" s="2" t="str">
        <f t="shared" si="123"/>
        <v>E78660</v>
      </c>
      <c r="H617" s="2" t="str">
        <f t="shared" si="124"/>
        <v>가톨릭대학교 서울성모병원</v>
      </c>
      <c r="I617" s="2" t="str">
        <f t="shared" si="133"/>
        <v>특수</v>
      </c>
    </row>
    <row r="618" spans="1:9" x14ac:dyDescent="0.3">
      <c r="A618" s="2" t="str">
        <f t="shared" si="132"/>
        <v>20241008</v>
      </c>
      <c r="B618" s="2" t="str">
        <f>"38589291"</f>
        <v>38589291</v>
      </c>
      <c r="C618" s="2" t="str">
        <f>"김다솜"</f>
        <v>김다솜</v>
      </c>
      <c r="D618" s="2" t="str">
        <f t="shared" si="134"/>
        <v>F</v>
      </c>
      <c r="E618" s="2" t="str">
        <f>"19930226"</f>
        <v>19930226</v>
      </c>
      <c r="F618" s="2" t="str">
        <f>"31"</f>
        <v>31</v>
      </c>
      <c r="G618" s="2" t="str">
        <f t="shared" si="123"/>
        <v>E78660</v>
      </c>
      <c r="H618" s="2" t="str">
        <f t="shared" si="124"/>
        <v>가톨릭대학교 서울성모병원</v>
      </c>
      <c r="I618" s="2" t="str">
        <f t="shared" si="133"/>
        <v>특수</v>
      </c>
    </row>
    <row r="619" spans="1:9" x14ac:dyDescent="0.3">
      <c r="A619" s="2" t="str">
        <f t="shared" si="132"/>
        <v>20241008</v>
      </c>
      <c r="B619" s="2" t="str">
        <f>"8281015"</f>
        <v>8281015</v>
      </c>
      <c r="C619" s="2" t="str">
        <f>"김춘란"</f>
        <v>김춘란</v>
      </c>
      <c r="D619" s="2" t="str">
        <f t="shared" si="134"/>
        <v>F</v>
      </c>
      <c r="E619" s="2" t="str">
        <f>"19890502"</f>
        <v>19890502</v>
      </c>
      <c r="F619" s="2" t="str">
        <f>"35"</f>
        <v>35</v>
      </c>
      <c r="G619" s="2" t="str">
        <f t="shared" si="123"/>
        <v>E78660</v>
      </c>
      <c r="H619" s="2" t="str">
        <f t="shared" si="124"/>
        <v>가톨릭대학교 서울성모병원</v>
      </c>
      <c r="I619" s="2" t="str">
        <f t="shared" si="133"/>
        <v>특수</v>
      </c>
    </row>
    <row r="620" spans="1:9" x14ac:dyDescent="0.3">
      <c r="A620" s="2" t="str">
        <f t="shared" ref="A620:A629" si="135">"20241010"</f>
        <v>20241010</v>
      </c>
      <c r="B620" s="2" t="str">
        <f>"19595344"</f>
        <v>19595344</v>
      </c>
      <c r="C620" s="2" t="str">
        <f>"정혜연"</f>
        <v>정혜연</v>
      </c>
      <c r="D620" s="2" t="str">
        <f t="shared" si="134"/>
        <v>F</v>
      </c>
      <c r="E620" s="2" t="str">
        <f>"19860204"</f>
        <v>19860204</v>
      </c>
      <c r="F620" s="2" t="str">
        <f>"38"</f>
        <v>38</v>
      </c>
      <c r="G620" s="2" t="str">
        <f t="shared" si="123"/>
        <v>E78660</v>
      </c>
      <c r="H620" s="2" t="str">
        <f t="shared" si="124"/>
        <v>가톨릭대학교 서울성모병원</v>
      </c>
      <c r="I620" s="2" t="str">
        <f t="shared" si="133"/>
        <v>특수</v>
      </c>
    </row>
    <row r="621" spans="1:9" x14ac:dyDescent="0.3">
      <c r="A621" s="2" t="str">
        <f t="shared" si="135"/>
        <v>20241010</v>
      </c>
      <c r="B621" s="2" t="str">
        <f>"23676236"</f>
        <v>23676236</v>
      </c>
      <c r="C621" s="2" t="str">
        <f>"박은지"</f>
        <v>박은지</v>
      </c>
      <c r="D621" s="2" t="str">
        <f t="shared" si="134"/>
        <v>F</v>
      </c>
      <c r="E621" s="2" t="str">
        <f>"19910106"</f>
        <v>19910106</v>
      </c>
      <c r="F621" s="2" t="str">
        <f>"33"</f>
        <v>33</v>
      </c>
      <c r="G621" s="2" t="str">
        <f t="shared" si="123"/>
        <v>E78660</v>
      </c>
      <c r="H621" s="2" t="str">
        <f t="shared" si="124"/>
        <v>가톨릭대학교 서울성모병원</v>
      </c>
      <c r="I621" s="2" t="str">
        <f t="shared" si="133"/>
        <v>특수</v>
      </c>
    </row>
    <row r="622" spans="1:9" x14ac:dyDescent="0.3">
      <c r="A622" s="2" t="str">
        <f t="shared" si="135"/>
        <v>20241010</v>
      </c>
      <c r="B622" s="2" t="str">
        <f>"25807533"</f>
        <v>25807533</v>
      </c>
      <c r="C622" s="2" t="str">
        <f>"이지민"</f>
        <v>이지민</v>
      </c>
      <c r="D622" s="2" t="str">
        <f t="shared" si="134"/>
        <v>F</v>
      </c>
      <c r="E622" s="2" t="str">
        <f>"19891107"</f>
        <v>19891107</v>
      </c>
      <c r="F622" s="2" t="str">
        <f>"34"</f>
        <v>34</v>
      </c>
      <c r="G622" s="2" t="str">
        <f t="shared" si="123"/>
        <v>E78660</v>
      </c>
      <c r="H622" s="2" t="str">
        <f t="shared" si="124"/>
        <v>가톨릭대학교 서울성모병원</v>
      </c>
      <c r="I622" s="2" t="str">
        <f t="shared" si="133"/>
        <v>특수</v>
      </c>
    </row>
    <row r="623" spans="1:9" x14ac:dyDescent="0.3">
      <c r="A623" s="2" t="str">
        <f t="shared" si="135"/>
        <v>20241010</v>
      </c>
      <c r="B623" s="2" t="str">
        <f>"31294223"</f>
        <v>31294223</v>
      </c>
      <c r="C623" s="2" t="str">
        <f>"박도영"</f>
        <v>박도영</v>
      </c>
      <c r="D623" s="2" t="str">
        <f t="shared" si="134"/>
        <v>F</v>
      </c>
      <c r="E623" s="2" t="str">
        <f>"19940302"</f>
        <v>19940302</v>
      </c>
      <c r="F623" s="2" t="str">
        <f>"30"</f>
        <v>30</v>
      </c>
      <c r="G623" s="2" t="str">
        <f t="shared" si="123"/>
        <v>E78660</v>
      </c>
      <c r="H623" s="2" t="str">
        <f t="shared" si="124"/>
        <v>가톨릭대학교 서울성모병원</v>
      </c>
      <c r="I623" s="2" t="str">
        <f t="shared" si="133"/>
        <v>특수</v>
      </c>
    </row>
    <row r="624" spans="1:9" x14ac:dyDescent="0.3">
      <c r="A624" s="2" t="str">
        <f t="shared" si="135"/>
        <v>20241010</v>
      </c>
      <c r="B624" s="2" t="str">
        <f>"32008054"</f>
        <v>32008054</v>
      </c>
      <c r="C624" s="2" t="str">
        <f>"임지수"</f>
        <v>임지수</v>
      </c>
      <c r="D624" s="2" t="str">
        <f t="shared" si="134"/>
        <v>F</v>
      </c>
      <c r="E624" s="2" t="str">
        <f>"19990215"</f>
        <v>19990215</v>
      </c>
      <c r="F624" s="2" t="str">
        <f>"25"</f>
        <v>25</v>
      </c>
      <c r="G624" s="2" t="str">
        <f t="shared" si="123"/>
        <v>E78660</v>
      </c>
      <c r="H624" s="2" t="str">
        <f t="shared" si="124"/>
        <v>가톨릭대학교 서울성모병원</v>
      </c>
      <c r="I624" s="2" t="str">
        <f t="shared" si="133"/>
        <v>특수</v>
      </c>
    </row>
    <row r="625" spans="1:9" x14ac:dyDescent="0.3">
      <c r="A625" s="2" t="str">
        <f t="shared" si="135"/>
        <v>20241010</v>
      </c>
      <c r="B625" s="2" t="str">
        <f>"33465674"</f>
        <v>33465674</v>
      </c>
      <c r="C625" s="2" t="str">
        <f>"정소연"</f>
        <v>정소연</v>
      </c>
      <c r="D625" s="2" t="str">
        <f t="shared" si="134"/>
        <v>F</v>
      </c>
      <c r="E625" s="2" t="str">
        <f>"19951206"</f>
        <v>19951206</v>
      </c>
      <c r="F625" s="2" t="str">
        <f>"28"</f>
        <v>28</v>
      </c>
      <c r="G625" s="2" t="str">
        <f t="shared" si="123"/>
        <v>E78660</v>
      </c>
      <c r="H625" s="2" t="str">
        <f t="shared" si="124"/>
        <v>가톨릭대학교 서울성모병원</v>
      </c>
      <c r="I625" s="2" t="str">
        <f t="shared" si="133"/>
        <v>특수</v>
      </c>
    </row>
    <row r="626" spans="1:9" x14ac:dyDescent="0.3">
      <c r="A626" s="2" t="str">
        <f t="shared" si="135"/>
        <v>20241010</v>
      </c>
      <c r="B626" s="2" t="str">
        <f>"34812541"</f>
        <v>34812541</v>
      </c>
      <c r="C626" s="2" t="str">
        <f>"박현수"</f>
        <v>박현수</v>
      </c>
      <c r="D626" s="2" t="str">
        <f>"M"</f>
        <v>M</v>
      </c>
      <c r="E626" s="2" t="str">
        <f>"19941107"</f>
        <v>19941107</v>
      </c>
      <c r="F626" s="2" t="str">
        <f>"29"</f>
        <v>29</v>
      </c>
      <c r="G626" s="2" t="str">
        <f t="shared" si="123"/>
        <v>E78660</v>
      </c>
      <c r="H626" s="2" t="str">
        <f t="shared" si="124"/>
        <v>가톨릭대학교 서울성모병원</v>
      </c>
      <c r="I626" s="2" t="str">
        <f t="shared" si="133"/>
        <v>특수</v>
      </c>
    </row>
    <row r="627" spans="1:9" x14ac:dyDescent="0.3">
      <c r="A627" s="2" t="str">
        <f t="shared" si="135"/>
        <v>20241010</v>
      </c>
      <c r="B627" s="2" t="str">
        <f>"37094974"</f>
        <v>37094974</v>
      </c>
      <c r="C627" s="2" t="str">
        <f>"김지우"</f>
        <v>김지우</v>
      </c>
      <c r="D627" s="2" t="str">
        <f>"F"</f>
        <v>F</v>
      </c>
      <c r="E627" s="2" t="str">
        <f>"20000118"</f>
        <v>20000118</v>
      </c>
      <c r="F627" s="2" t="str">
        <f>"24"</f>
        <v>24</v>
      </c>
      <c r="G627" s="2" t="str">
        <f t="shared" si="123"/>
        <v>E78660</v>
      </c>
      <c r="H627" s="2" t="str">
        <f t="shared" si="124"/>
        <v>가톨릭대학교 서울성모병원</v>
      </c>
      <c r="I627" s="2" t="str">
        <f t="shared" si="133"/>
        <v>특수</v>
      </c>
    </row>
    <row r="628" spans="1:9" x14ac:dyDescent="0.3">
      <c r="A628" s="2" t="str">
        <f t="shared" si="135"/>
        <v>20241010</v>
      </c>
      <c r="B628" s="2" t="str">
        <f>"38036601"</f>
        <v>38036601</v>
      </c>
      <c r="C628" s="2" t="str">
        <f>"안지은"</f>
        <v>안지은</v>
      </c>
      <c r="D628" s="2" t="str">
        <f>"F"</f>
        <v>F</v>
      </c>
      <c r="E628" s="2" t="str">
        <f>"19961014"</f>
        <v>19961014</v>
      </c>
      <c r="F628" s="2" t="str">
        <f>"28"</f>
        <v>28</v>
      </c>
      <c r="G628" s="2" t="str">
        <f t="shared" si="123"/>
        <v>E78660</v>
      </c>
      <c r="H628" s="2" t="str">
        <f t="shared" si="124"/>
        <v>가톨릭대학교 서울성모병원</v>
      </c>
      <c r="I628" s="2" t="str">
        <f t="shared" si="133"/>
        <v>특수</v>
      </c>
    </row>
    <row r="629" spans="1:9" x14ac:dyDescent="0.3">
      <c r="A629" s="2" t="str">
        <f t="shared" si="135"/>
        <v>20241010</v>
      </c>
      <c r="B629" s="2" t="str">
        <f>"38425653"</f>
        <v>38425653</v>
      </c>
      <c r="C629" s="2" t="str">
        <f>"김경덕"</f>
        <v>김경덕</v>
      </c>
      <c r="D629" s="2" t="str">
        <f>"F"</f>
        <v>F</v>
      </c>
      <c r="E629" s="2" t="str">
        <f>"20000904"</f>
        <v>20000904</v>
      </c>
      <c r="F629" s="2" t="str">
        <f>"24"</f>
        <v>24</v>
      </c>
      <c r="G629" s="2" t="str">
        <f t="shared" si="123"/>
        <v>E78660</v>
      </c>
      <c r="H629" s="2" t="str">
        <f t="shared" si="124"/>
        <v>가톨릭대학교 서울성모병원</v>
      </c>
      <c r="I629" s="2" t="str">
        <f t="shared" si="133"/>
        <v>특수</v>
      </c>
    </row>
    <row r="630" spans="1:9" x14ac:dyDescent="0.3">
      <c r="A630" s="2" t="str">
        <f t="shared" ref="A630:A638" si="136">"20241014"</f>
        <v>20241014</v>
      </c>
      <c r="B630" s="2" t="str">
        <f>"19795751"</f>
        <v>19795751</v>
      </c>
      <c r="C630" s="2" t="str">
        <f>"유경원"</f>
        <v>유경원</v>
      </c>
      <c r="D630" s="2" t="str">
        <f>"F"</f>
        <v>F</v>
      </c>
      <c r="E630" s="2" t="str">
        <f>"19850222"</f>
        <v>19850222</v>
      </c>
      <c r="F630" s="2" t="str">
        <f>"39"</f>
        <v>39</v>
      </c>
      <c r="G630" s="2" t="str">
        <f t="shared" si="123"/>
        <v>E78660</v>
      </c>
      <c r="H630" s="2" t="str">
        <f t="shared" si="124"/>
        <v>가톨릭대학교 서울성모병원</v>
      </c>
      <c r="I630" s="2" t="str">
        <f t="shared" si="133"/>
        <v>특수</v>
      </c>
    </row>
    <row r="631" spans="1:9" x14ac:dyDescent="0.3">
      <c r="A631" s="2" t="str">
        <f t="shared" si="136"/>
        <v>20241014</v>
      </c>
      <c r="B631" s="2" t="str">
        <f>"23476101"</f>
        <v>23476101</v>
      </c>
      <c r="C631" s="2" t="str">
        <f>"문지희"</f>
        <v>문지희</v>
      </c>
      <c r="D631" s="2" t="str">
        <f>"F"</f>
        <v>F</v>
      </c>
      <c r="E631" s="2" t="str">
        <f>"19870323"</f>
        <v>19870323</v>
      </c>
      <c r="F631" s="2" t="str">
        <f>"37"</f>
        <v>37</v>
      </c>
      <c r="G631" s="2" t="str">
        <f t="shared" si="123"/>
        <v>E78660</v>
      </c>
      <c r="H631" s="2" t="str">
        <f t="shared" si="124"/>
        <v>가톨릭대학교 서울성모병원</v>
      </c>
      <c r="I631" s="2" t="str">
        <f t="shared" si="133"/>
        <v>특수</v>
      </c>
    </row>
    <row r="632" spans="1:9" x14ac:dyDescent="0.3">
      <c r="A632" s="2" t="str">
        <f t="shared" si="136"/>
        <v>20241014</v>
      </c>
      <c r="B632" s="2" t="str">
        <f>"28403062"</f>
        <v>28403062</v>
      </c>
      <c r="C632" s="2" t="str">
        <f>"김명산"</f>
        <v>김명산</v>
      </c>
      <c r="D632" s="2" t="str">
        <f>"M"</f>
        <v>M</v>
      </c>
      <c r="E632" s="2" t="str">
        <f>"19710626"</f>
        <v>19710626</v>
      </c>
      <c r="F632" s="2" t="str">
        <f>"53"</f>
        <v>53</v>
      </c>
      <c r="G632" s="2" t="str">
        <f>"E80600"</f>
        <v>E80600</v>
      </c>
      <c r="H632" s="2" t="str">
        <f>"베올리아산업개발코리아 주식회사"</f>
        <v>베올리아산업개발코리아 주식회사</v>
      </c>
      <c r="I632" s="2" t="str">
        <f t="shared" si="133"/>
        <v>특수</v>
      </c>
    </row>
    <row r="633" spans="1:9" x14ac:dyDescent="0.3">
      <c r="A633" s="2" t="str">
        <f t="shared" si="136"/>
        <v>20241014</v>
      </c>
      <c r="B633" s="2" t="str">
        <f>"29474873"</f>
        <v>29474873</v>
      </c>
      <c r="C633" s="2" t="str">
        <f>"함준호"</f>
        <v>함준호</v>
      </c>
      <c r="D633" s="2" t="str">
        <f>"M"</f>
        <v>M</v>
      </c>
      <c r="E633" s="2" t="str">
        <f>"19850629"</f>
        <v>19850629</v>
      </c>
      <c r="F633" s="2" t="str">
        <f>"39"</f>
        <v>39</v>
      </c>
      <c r="G633" s="2" t="str">
        <f>"E80600"</f>
        <v>E80600</v>
      </c>
      <c r="H633" s="2" t="str">
        <f>"베올리아산업개발코리아 주식회사"</f>
        <v>베올리아산업개발코리아 주식회사</v>
      </c>
      <c r="I633" s="2" t="str">
        <f t="shared" si="133"/>
        <v>특수</v>
      </c>
    </row>
    <row r="634" spans="1:9" x14ac:dyDescent="0.3">
      <c r="A634" s="2" t="str">
        <f t="shared" si="136"/>
        <v>20241014</v>
      </c>
      <c r="B634" s="2" t="str">
        <f>"32894292"</f>
        <v>32894292</v>
      </c>
      <c r="C634" s="2" t="str">
        <f>"김영일"</f>
        <v>김영일</v>
      </c>
      <c r="D634" s="2" t="str">
        <f>"M"</f>
        <v>M</v>
      </c>
      <c r="E634" s="2" t="str">
        <f>"19730806"</f>
        <v>19730806</v>
      </c>
      <c r="F634" s="2" t="str">
        <f>"51"</f>
        <v>51</v>
      </c>
      <c r="G634" s="2" t="str">
        <f>"E80600"</f>
        <v>E80600</v>
      </c>
      <c r="H634" s="2" t="str">
        <f>"베올리아산업개발코리아 주식회사"</f>
        <v>베올리아산업개발코리아 주식회사</v>
      </c>
      <c r="I634" s="2" t="str">
        <f t="shared" si="133"/>
        <v>특수</v>
      </c>
    </row>
    <row r="635" spans="1:9" x14ac:dyDescent="0.3">
      <c r="A635" s="2" t="str">
        <f t="shared" si="136"/>
        <v>20241014</v>
      </c>
      <c r="B635" s="2" t="str">
        <f>"38614024"</f>
        <v>38614024</v>
      </c>
      <c r="C635" s="2" t="str">
        <f>"민현기"</f>
        <v>민현기</v>
      </c>
      <c r="D635" s="2" t="str">
        <f>"M"</f>
        <v>M</v>
      </c>
      <c r="E635" s="2" t="str">
        <f>"19680121"</f>
        <v>19680121</v>
      </c>
      <c r="F635" s="2" t="str">
        <f>"56"</f>
        <v>56</v>
      </c>
      <c r="G635" s="2" t="str">
        <f>"E80600"</f>
        <v>E80600</v>
      </c>
      <c r="H635" s="2" t="str">
        <f>"베올리아산업개발코리아 주식회사"</f>
        <v>베올리아산업개발코리아 주식회사</v>
      </c>
      <c r="I635" s="2" t="str">
        <f t="shared" si="133"/>
        <v>특수</v>
      </c>
    </row>
    <row r="636" spans="1:9" x14ac:dyDescent="0.3">
      <c r="A636" s="2" t="str">
        <f t="shared" si="136"/>
        <v>20241014</v>
      </c>
      <c r="B636" s="2" t="str">
        <f>"39476272"</f>
        <v>39476272</v>
      </c>
      <c r="C636" s="2" t="str">
        <f>"전종일"</f>
        <v>전종일</v>
      </c>
      <c r="D636" s="2" t="str">
        <f>"M"</f>
        <v>M</v>
      </c>
      <c r="E636" s="2" t="str">
        <f>"19760126"</f>
        <v>19760126</v>
      </c>
      <c r="F636" s="2" t="str">
        <f>"48"</f>
        <v>48</v>
      </c>
      <c r="G636" s="2" t="str">
        <f>"E80600"</f>
        <v>E80600</v>
      </c>
      <c r="H636" s="2" t="str">
        <f>"베올리아산업개발코리아 주식회사"</f>
        <v>베올리아산업개발코리아 주식회사</v>
      </c>
      <c r="I636" s="2" t="str">
        <f t="shared" si="133"/>
        <v>특수</v>
      </c>
    </row>
    <row r="637" spans="1:9" x14ac:dyDescent="0.3">
      <c r="A637" s="2" t="str">
        <f t="shared" si="136"/>
        <v>20241014</v>
      </c>
      <c r="B637" s="2" t="str">
        <f>"39713751"</f>
        <v>39713751</v>
      </c>
      <c r="C637" s="2" t="str">
        <f>"최희원"</f>
        <v>최희원</v>
      </c>
      <c r="D637" s="2" t="str">
        <f>"F"</f>
        <v>F</v>
      </c>
      <c r="E637" s="2" t="str">
        <f>"19980209"</f>
        <v>19980209</v>
      </c>
      <c r="F637" s="2" t="str">
        <f>"26"</f>
        <v>26</v>
      </c>
      <c r="G637" s="2" t="str">
        <f>"E78660"</f>
        <v>E78660</v>
      </c>
      <c r="H637" s="2" t="str">
        <f>"가톨릭대학교 서울성모병원"</f>
        <v>가톨릭대학교 서울성모병원</v>
      </c>
      <c r="I637" s="2" t="str">
        <f>"배치후"</f>
        <v>배치후</v>
      </c>
    </row>
    <row r="638" spans="1:9" x14ac:dyDescent="0.3">
      <c r="A638" s="2" t="str">
        <f t="shared" si="136"/>
        <v>20241014</v>
      </c>
      <c r="B638" s="2" t="str">
        <f>"40156472"</f>
        <v>40156472</v>
      </c>
      <c r="C638" s="2" t="str">
        <f>"안서용"</f>
        <v>안서용</v>
      </c>
      <c r="D638" s="2" t="str">
        <f>"M"</f>
        <v>M</v>
      </c>
      <c r="E638" s="2" t="str">
        <f>"19880227"</f>
        <v>19880227</v>
      </c>
      <c r="F638" s="2" t="str">
        <f>"36"</f>
        <v>36</v>
      </c>
      <c r="G638" s="2" t="str">
        <f>"E80600"</f>
        <v>E80600</v>
      </c>
      <c r="H638" s="2" t="str">
        <f>"베올리아산업개발코리아 주식회사"</f>
        <v>베올리아산업개발코리아 주식회사</v>
      </c>
      <c r="I638" s="2" t="str">
        <f t="shared" ref="I638:I684" si="137">"특수"</f>
        <v>특수</v>
      </c>
    </row>
    <row r="639" spans="1:9" x14ac:dyDescent="0.3">
      <c r="A639" s="2" t="str">
        <f t="shared" ref="A639:A644" si="138">"20241015"</f>
        <v>20241015</v>
      </c>
      <c r="B639" s="2" t="str">
        <f>"25051930"</f>
        <v>25051930</v>
      </c>
      <c r="C639" s="2" t="str">
        <f>"이현진"</f>
        <v>이현진</v>
      </c>
      <c r="D639" s="2" t="str">
        <f>"F"</f>
        <v>F</v>
      </c>
      <c r="E639" s="2" t="str">
        <f>"19920917"</f>
        <v>19920917</v>
      </c>
      <c r="F639" s="2" t="str">
        <f>"32"</f>
        <v>32</v>
      </c>
      <c r="G639" s="2" t="str">
        <f t="shared" ref="G639:G670" si="139">"E78660"</f>
        <v>E78660</v>
      </c>
      <c r="H639" s="2" t="str">
        <f t="shared" ref="H639:H670" si="140">"가톨릭대학교 서울성모병원"</f>
        <v>가톨릭대학교 서울성모병원</v>
      </c>
      <c r="I639" s="2" t="str">
        <f t="shared" si="137"/>
        <v>특수</v>
      </c>
    </row>
    <row r="640" spans="1:9" x14ac:dyDescent="0.3">
      <c r="A640" s="2" t="str">
        <f t="shared" si="138"/>
        <v>20241015</v>
      </c>
      <c r="B640" s="2" t="str">
        <f>"26584381"</f>
        <v>26584381</v>
      </c>
      <c r="C640" s="2" t="str">
        <f>"이은별"</f>
        <v>이은별</v>
      </c>
      <c r="D640" s="2" t="str">
        <f>"F"</f>
        <v>F</v>
      </c>
      <c r="E640" s="2" t="str">
        <f>"19831218"</f>
        <v>19831218</v>
      </c>
      <c r="F640" s="2" t="str">
        <f>"40"</f>
        <v>40</v>
      </c>
      <c r="G640" s="2" t="str">
        <f t="shared" si="139"/>
        <v>E78660</v>
      </c>
      <c r="H640" s="2" t="str">
        <f t="shared" si="140"/>
        <v>가톨릭대학교 서울성모병원</v>
      </c>
      <c r="I640" s="2" t="str">
        <f t="shared" si="137"/>
        <v>특수</v>
      </c>
    </row>
    <row r="641" spans="1:9" x14ac:dyDescent="0.3">
      <c r="A641" s="2" t="str">
        <f t="shared" si="138"/>
        <v>20241015</v>
      </c>
      <c r="B641" s="2" t="str">
        <f>"33464452"</f>
        <v>33464452</v>
      </c>
      <c r="C641" s="2" t="str">
        <f>"김선영"</f>
        <v>김선영</v>
      </c>
      <c r="D641" s="2" t="str">
        <f>"F"</f>
        <v>F</v>
      </c>
      <c r="E641" s="2" t="str">
        <f>"19950119"</f>
        <v>19950119</v>
      </c>
      <c r="F641" s="2" t="str">
        <f>"29"</f>
        <v>29</v>
      </c>
      <c r="G641" s="2" t="str">
        <f t="shared" si="139"/>
        <v>E78660</v>
      </c>
      <c r="H641" s="2" t="str">
        <f t="shared" si="140"/>
        <v>가톨릭대학교 서울성모병원</v>
      </c>
      <c r="I641" s="2" t="str">
        <f t="shared" si="137"/>
        <v>특수</v>
      </c>
    </row>
    <row r="642" spans="1:9" x14ac:dyDescent="0.3">
      <c r="A642" s="2" t="str">
        <f t="shared" si="138"/>
        <v>20241015</v>
      </c>
      <c r="B642" s="2" t="str">
        <f>"36152412"</f>
        <v>36152412</v>
      </c>
      <c r="C642" s="2" t="str">
        <f>"김유진"</f>
        <v>김유진</v>
      </c>
      <c r="D642" s="2" t="str">
        <f>"F"</f>
        <v>F</v>
      </c>
      <c r="E642" s="2" t="str">
        <f>"19971215"</f>
        <v>19971215</v>
      </c>
      <c r="F642" s="2" t="str">
        <f>"26"</f>
        <v>26</v>
      </c>
      <c r="G642" s="2" t="str">
        <f t="shared" si="139"/>
        <v>E78660</v>
      </c>
      <c r="H642" s="2" t="str">
        <f t="shared" si="140"/>
        <v>가톨릭대학교 서울성모병원</v>
      </c>
      <c r="I642" s="2" t="str">
        <f t="shared" si="137"/>
        <v>특수</v>
      </c>
    </row>
    <row r="643" spans="1:9" x14ac:dyDescent="0.3">
      <c r="A643" s="2" t="str">
        <f t="shared" si="138"/>
        <v>20241015</v>
      </c>
      <c r="B643" s="2" t="str">
        <f>"37542714"</f>
        <v>37542714</v>
      </c>
      <c r="C643" s="2" t="str">
        <f>"김정민"</f>
        <v>김정민</v>
      </c>
      <c r="D643" s="2" t="str">
        <f>"F"</f>
        <v>F</v>
      </c>
      <c r="E643" s="2" t="str">
        <f>"19990113"</f>
        <v>19990113</v>
      </c>
      <c r="F643" s="2" t="str">
        <f>"25"</f>
        <v>25</v>
      </c>
      <c r="G643" s="2" t="str">
        <f t="shared" si="139"/>
        <v>E78660</v>
      </c>
      <c r="H643" s="2" t="str">
        <f t="shared" si="140"/>
        <v>가톨릭대학교 서울성모병원</v>
      </c>
      <c r="I643" s="2" t="str">
        <f t="shared" si="137"/>
        <v>특수</v>
      </c>
    </row>
    <row r="644" spans="1:9" x14ac:dyDescent="0.3">
      <c r="A644" s="2" t="str">
        <f t="shared" si="138"/>
        <v>20241015</v>
      </c>
      <c r="B644" s="2" t="str">
        <f>"8482935"</f>
        <v>8482935</v>
      </c>
      <c r="C644" s="2" t="str">
        <f>"김한식"</f>
        <v>김한식</v>
      </c>
      <c r="D644" s="2" t="str">
        <f>"M"</f>
        <v>M</v>
      </c>
      <c r="E644" s="2" t="str">
        <f>"19680604"</f>
        <v>19680604</v>
      </c>
      <c r="F644" s="2" t="str">
        <f>"56"</f>
        <v>56</v>
      </c>
      <c r="G644" s="2" t="str">
        <f t="shared" si="139"/>
        <v>E78660</v>
      </c>
      <c r="H644" s="2" t="str">
        <f t="shared" si="140"/>
        <v>가톨릭대학교 서울성모병원</v>
      </c>
      <c r="I644" s="2" t="str">
        <f t="shared" si="137"/>
        <v>특수</v>
      </c>
    </row>
    <row r="645" spans="1:9" x14ac:dyDescent="0.3">
      <c r="A645" s="2" t="str">
        <f t="shared" ref="A645:A655" si="141">"20241016"</f>
        <v>20241016</v>
      </c>
      <c r="B645" s="2" t="str">
        <f>"11928958"</f>
        <v>11928958</v>
      </c>
      <c r="C645" s="2" t="str">
        <f>"문석현"</f>
        <v>문석현</v>
      </c>
      <c r="D645" s="2" t="str">
        <f>"M"</f>
        <v>M</v>
      </c>
      <c r="E645" s="2" t="str">
        <f>"19710214"</f>
        <v>19710214</v>
      </c>
      <c r="F645" s="2" t="str">
        <f>"53"</f>
        <v>53</v>
      </c>
      <c r="G645" s="2" t="str">
        <f t="shared" si="139"/>
        <v>E78660</v>
      </c>
      <c r="H645" s="2" t="str">
        <f t="shared" si="140"/>
        <v>가톨릭대학교 서울성모병원</v>
      </c>
      <c r="I645" s="2" t="str">
        <f t="shared" si="137"/>
        <v>특수</v>
      </c>
    </row>
    <row r="646" spans="1:9" x14ac:dyDescent="0.3">
      <c r="A646" s="2" t="str">
        <f t="shared" si="141"/>
        <v>20241016</v>
      </c>
      <c r="B646" s="2" t="str">
        <f>"13451466"</f>
        <v>13451466</v>
      </c>
      <c r="C646" s="2" t="str">
        <f>"송분연"</f>
        <v>송분연</v>
      </c>
      <c r="D646" s="2" t="str">
        <f t="shared" ref="D646:D663" si="142">"F"</f>
        <v>F</v>
      </c>
      <c r="E646" s="2" t="str">
        <f>"19750901"</f>
        <v>19750901</v>
      </c>
      <c r="F646" s="2" t="str">
        <f>"49"</f>
        <v>49</v>
      </c>
      <c r="G646" s="2" t="str">
        <f t="shared" si="139"/>
        <v>E78660</v>
      </c>
      <c r="H646" s="2" t="str">
        <f t="shared" si="140"/>
        <v>가톨릭대학교 서울성모병원</v>
      </c>
      <c r="I646" s="2" t="str">
        <f t="shared" si="137"/>
        <v>특수</v>
      </c>
    </row>
    <row r="647" spans="1:9" x14ac:dyDescent="0.3">
      <c r="A647" s="2" t="str">
        <f t="shared" si="141"/>
        <v>20241016</v>
      </c>
      <c r="B647" s="2" t="str">
        <f>"14778676"</f>
        <v>14778676</v>
      </c>
      <c r="C647" s="2" t="str">
        <f>"이경숙"</f>
        <v>이경숙</v>
      </c>
      <c r="D647" s="2" t="str">
        <f t="shared" si="142"/>
        <v>F</v>
      </c>
      <c r="E647" s="2" t="str">
        <f>"19771106"</f>
        <v>19771106</v>
      </c>
      <c r="F647" s="2" t="str">
        <f>"46"</f>
        <v>46</v>
      </c>
      <c r="G647" s="2" t="str">
        <f t="shared" si="139"/>
        <v>E78660</v>
      </c>
      <c r="H647" s="2" t="str">
        <f t="shared" si="140"/>
        <v>가톨릭대학교 서울성모병원</v>
      </c>
      <c r="I647" s="2" t="str">
        <f t="shared" si="137"/>
        <v>특수</v>
      </c>
    </row>
    <row r="648" spans="1:9" x14ac:dyDescent="0.3">
      <c r="A648" s="2" t="str">
        <f t="shared" si="141"/>
        <v>20241016</v>
      </c>
      <c r="B648" s="2" t="str">
        <f>"17913362"</f>
        <v>17913362</v>
      </c>
      <c r="C648" s="2" t="str">
        <f>"강미희"</f>
        <v>강미희</v>
      </c>
      <c r="D648" s="2" t="str">
        <f t="shared" si="142"/>
        <v>F</v>
      </c>
      <c r="E648" s="2" t="str">
        <f>"19841202"</f>
        <v>19841202</v>
      </c>
      <c r="F648" s="2" t="str">
        <f>"39"</f>
        <v>39</v>
      </c>
      <c r="G648" s="2" t="str">
        <f t="shared" si="139"/>
        <v>E78660</v>
      </c>
      <c r="H648" s="2" t="str">
        <f t="shared" si="140"/>
        <v>가톨릭대학교 서울성모병원</v>
      </c>
      <c r="I648" s="2" t="str">
        <f t="shared" si="137"/>
        <v>특수</v>
      </c>
    </row>
    <row r="649" spans="1:9" x14ac:dyDescent="0.3">
      <c r="A649" s="2" t="str">
        <f t="shared" si="141"/>
        <v>20241016</v>
      </c>
      <c r="B649" s="2" t="str">
        <f>"19309455"</f>
        <v>19309455</v>
      </c>
      <c r="C649" s="2" t="str">
        <f>"구미나"</f>
        <v>구미나</v>
      </c>
      <c r="D649" s="2" t="str">
        <f t="shared" si="142"/>
        <v>F</v>
      </c>
      <c r="E649" s="2" t="str">
        <f>"19880505"</f>
        <v>19880505</v>
      </c>
      <c r="F649" s="2" t="str">
        <f>"36"</f>
        <v>36</v>
      </c>
      <c r="G649" s="2" t="str">
        <f t="shared" si="139"/>
        <v>E78660</v>
      </c>
      <c r="H649" s="2" t="str">
        <f t="shared" si="140"/>
        <v>가톨릭대학교 서울성모병원</v>
      </c>
      <c r="I649" s="2" t="str">
        <f t="shared" si="137"/>
        <v>특수</v>
      </c>
    </row>
    <row r="650" spans="1:9" x14ac:dyDescent="0.3">
      <c r="A650" s="2" t="str">
        <f t="shared" si="141"/>
        <v>20241016</v>
      </c>
      <c r="B650" s="2" t="str">
        <f>"26242051"</f>
        <v>26242051</v>
      </c>
      <c r="C650" s="2" t="str">
        <f>"이슬이"</f>
        <v>이슬이</v>
      </c>
      <c r="D650" s="2" t="str">
        <f t="shared" si="142"/>
        <v>F</v>
      </c>
      <c r="E650" s="2" t="str">
        <f>"19900706"</f>
        <v>19900706</v>
      </c>
      <c r="F650" s="2" t="str">
        <f>"34"</f>
        <v>34</v>
      </c>
      <c r="G650" s="2" t="str">
        <f t="shared" si="139"/>
        <v>E78660</v>
      </c>
      <c r="H650" s="2" t="str">
        <f t="shared" si="140"/>
        <v>가톨릭대학교 서울성모병원</v>
      </c>
      <c r="I650" s="2" t="str">
        <f t="shared" si="137"/>
        <v>특수</v>
      </c>
    </row>
    <row r="651" spans="1:9" x14ac:dyDescent="0.3">
      <c r="A651" s="2" t="str">
        <f t="shared" si="141"/>
        <v>20241016</v>
      </c>
      <c r="B651" s="2" t="str">
        <f>"27515861"</f>
        <v>27515861</v>
      </c>
      <c r="C651" s="2" t="str">
        <f>"김미경"</f>
        <v>김미경</v>
      </c>
      <c r="D651" s="2" t="str">
        <f t="shared" si="142"/>
        <v>F</v>
      </c>
      <c r="E651" s="2" t="str">
        <f>"19890806"</f>
        <v>19890806</v>
      </c>
      <c r="F651" s="2" t="str">
        <f>"35"</f>
        <v>35</v>
      </c>
      <c r="G651" s="2" t="str">
        <f t="shared" si="139"/>
        <v>E78660</v>
      </c>
      <c r="H651" s="2" t="str">
        <f t="shared" si="140"/>
        <v>가톨릭대학교 서울성모병원</v>
      </c>
      <c r="I651" s="2" t="str">
        <f t="shared" si="137"/>
        <v>특수</v>
      </c>
    </row>
    <row r="652" spans="1:9" x14ac:dyDescent="0.3">
      <c r="A652" s="2" t="str">
        <f t="shared" si="141"/>
        <v>20241016</v>
      </c>
      <c r="B652" s="2" t="str">
        <f>"30119241"</f>
        <v>30119241</v>
      </c>
      <c r="C652" s="2" t="str">
        <f>"박주희"</f>
        <v>박주희</v>
      </c>
      <c r="D652" s="2" t="str">
        <f t="shared" si="142"/>
        <v>F</v>
      </c>
      <c r="E652" s="2" t="str">
        <f>"19930730"</f>
        <v>19930730</v>
      </c>
      <c r="F652" s="2" t="str">
        <f>"31"</f>
        <v>31</v>
      </c>
      <c r="G652" s="2" t="str">
        <f t="shared" si="139"/>
        <v>E78660</v>
      </c>
      <c r="H652" s="2" t="str">
        <f t="shared" si="140"/>
        <v>가톨릭대학교 서울성모병원</v>
      </c>
      <c r="I652" s="2" t="str">
        <f t="shared" si="137"/>
        <v>특수</v>
      </c>
    </row>
    <row r="653" spans="1:9" x14ac:dyDescent="0.3">
      <c r="A653" s="2" t="str">
        <f t="shared" si="141"/>
        <v>20241016</v>
      </c>
      <c r="B653" s="2" t="str">
        <f>"31545702"</f>
        <v>31545702</v>
      </c>
      <c r="C653" s="2" t="str">
        <f>"이경은"</f>
        <v>이경은</v>
      </c>
      <c r="D653" s="2" t="str">
        <f t="shared" si="142"/>
        <v>F</v>
      </c>
      <c r="E653" s="2" t="str">
        <f>"19940328"</f>
        <v>19940328</v>
      </c>
      <c r="F653" s="2" t="str">
        <f>"30"</f>
        <v>30</v>
      </c>
      <c r="G653" s="2" t="str">
        <f t="shared" si="139"/>
        <v>E78660</v>
      </c>
      <c r="H653" s="2" t="str">
        <f t="shared" si="140"/>
        <v>가톨릭대학교 서울성모병원</v>
      </c>
      <c r="I653" s="2" t="str">
        <f t="shared" si="137"/>
        <v>특수</v>
      </c>
    </row>
    <row r="654" spans="1:9" x14ac:dyDescent="0.3">
      <c r="A654" s="2" t="str">
        <f t="shared" si="141"/>
        <v>20241016</v>
      </c>
      <c r="B654" s="2" t="str">
        <f>"35213291"</f>
        <v>35213291</v>
      </c>
      <c r="C654" s="2" t="str">
        <f>"황세정"</f>
        <v>황세정</v>
      </c>
      <c r="D654" s="2" t="str">
        <f t="shared" si="142"/>
        <v>F</v>
      </c>
      <c r="E654" s="2" t="str">
        <f>"19941021"</f>
        <v>19941021</v>
      </c>
      <c r="F654" s="2" t="str">
        <f>"30"</f>
        <v>30</v>
      </c>
      <c r="G654" s="2" t="str">
        <f t="shared" si="139"/>
        <v>E78660</v>
      </c>
      <c r="H654" s="2" t="str">
        <f t="shared" si="140"/>
        <v>가톨릭대학교 서울성모병원</v>
      </c>
      <c r="I654" s="2" t="str">
        <f t="shared" si="137"/>
        <v>특수</v>
      </c>
    </row>
    <row r="655" spans="1:9" x14ac:dyDescent="0.3">
      <c r="A655" s="2" t="str">
        <f t="shared" si="141"/>
        <v>20241016</v>
      </c>
      <c r="B655" s="2" t="str">
        <f>"36349683"</f>
        <v>36349683</v>
      </c>
      <c r="C655" s="2" t="str">
        <f>"남궁하경"</f>
        <v>남궁하경</v>
      </c>
      <c r="D655" s="2" t="str">
        <f t="shared" si="142"/>
        <v>F</v>
      </c>
      <c r="E655" s="2" t="str">
        <f>"19980102"</f>
        <v>19980102</v>
      </c>
      <c r="F655" s="2" t="str">
        <f>"26"</f>
        <v>26</v>
      </c>
      <c r="G655" s="2" t="str">
        <f t="shared" si="139"/>
        <v>E78660</v>
      </c>
      <c r="H655" s="2" t="str">
        <f t="shared" si="140"/>
        <v>가톨릭대학교 서울성모병원</v>
      </c>
      <c r="I655" s="2" t="str">
        <f t="shared" si="137"/>
        <v>특수</v>
      </c>
    </row>
    <row r="656" spans="1:9" x14ac:dyDescent="0.3">
      <c r="A656" s="2" t="str">
        <f t="shared" ref="A656:A668" si="143">"20241017"</f>
        <v>20241017</v>
      </c>
      <c r="B656" s="2" t="str">
        <f>"10134572"</f>
        <v>10134572</v>
      </c>
      <c r="C656" s="2" t="str">
        <f>"이진희"</f>
        <v>이진희</v>
      </c>
      <c r="D656" s="2" t="str">
        <f t="shared" si="142"/>
        <v>F</v>
      </c>
      <c r="E656" s="2" t="str">
        <f>"19751022"</f>
        <v>19751022</v>
      </c>
      <c r="F656" s="2" t="str">
        <f>"49"</f>
        <v>49</v>
      </c>
      <c r="G656" s="2" t="str">
        <f t="shared" si="139"/>
        <v>E78660</v>
      </c>
      <c r="H656" s="2" t="str">
        <f t="shared" si="140"/>
        <v>가톨릭대학교 서울성모병원</v>
      </c>
      <c r="I656" s="2" t="str">
        <f t="shared" si="137"/>
        <v>특수</v>
      </c>
    </row>
    <row r="657" spans="1:9" x14ac:dyDescent="0.3">
      <c r="A657" s="2" t="str">
        <f t="shared" si="143"/>
        <v>20241017</v>
      </c>
      <c r="B657" s="2" t="str">
        <f>"11060830"</f>
        <v>11060830</v>
      </c>
      <c r="C657" s="2" t="str">
        <f>"지윤희"</f>
        <v>지윤희</v>
      </c>
      <c r="D657" s="2" t="str">
        <f t="shared" si="142"/>
        <v>F</v>
      </c>
      <c r="E657" s="2" t="str">
        <f>"19790213"</f>
        <v>19790213</v>
      </c>
      <c r="F657" s="2" t="str">
        <f>"45"</f>
        <v>45</v>
      </c>
      <c r="G657" s="2" t="str">
        <f t="shared" si="139"/>
        <v>E78660</v>
      </c>
      <c r="H657" s="2" t="str">
        <f t="shared" si="140"/>
        <v>가톨릭대학교 서울성모병원</v>
      </c>
      <c r="I657" s="2" t="str">
        <f t="shared" si="137"/>
        <v>특수</v>
      </c>
    </row>
    <row r="658" spans="1:9" x14ac:dyDescent="0.3">
      <c r="A658" s="2" t="str">
        <f t="shared" si="143"/>
        <v>20241017</v>
      </c>
      <c r="B658" s="2" t="str">
        <f>"19777421"</f>
        <v>19777421</v>
      </c>
      <c r="C658" s="2" t="str">
        <f>"이정화"</f>
        <v>이정화</v>
      </c>
      <c r="D658" s="2" t="str">
        <f t="shared" si="142"/>
        <v>F</v>
      </c>
      <c r="E658" s="2" t="str">
        <f>"19891201"</f>
        <v>19891201</v>
      </c>
      <c r="F658" s="2" t="str">
        <f>"34"</f>
        <v>34</v>
      </c>
      <c r="G658" s="2" t="str">
        <f t="shared" si="139"/>
        <v>E78660</v>
      </c>
      <c r="H658" s="2" t="str">
        <f t="shared" si="140"/>
        <v>가톨릭대학교 서울성모병원</v>
      </c>
      <c r="I658" s="2" t="str">
        <f t="shared" si="137"/>
        <v>특수</v>
      </c>
    </row>
    <row r="659" spans="1:9" x14ac:dyDescent="0.3">
      <c r="A659" s="2" t="str">
        <f t="shared" si="143"/>
        <v>20241017</v>
      </c>
      <c r="B659" s="2" t="str">
        <f>"21622666"</f>
        <v>21622666</v>
      </c>
      <c r="C659" s="2" t="str">
        <f>"유단영"</f>
        <v>유단영</v>
      </c>
      <c r="D659" s="2" t="str">
        <f t="shared" si="142"/>
        <v>F</v>
      </c>
      <c r="E659" s="2" t="str">
        <f>"19801129"</f>
        <v>19801129</v>
      </c>
      <c r="F659" s="2" t="str">
        <f>"43"</f>
        <v>43</v>
      </c>
      <c r="G659" s="2" t="str">
        <f t="shared" si="139"/>
        <v>E78660</v>
      </c>
      <c r="H659" s="2" t="str">
        <f t="shared" si="140"/>
        <v>가톨릭대학교 서울성모병원</v>
      </c>
      <c r="I659" s="2" t="str">
        <f t="shared" si="137"/>
        <v>특수</v>
      </c>
    </row>
    <row r="660" spans="1:9" x14ac:dyDescent="0.3">
      <c r="A660" s="2" t="str">
        <f t="shared" si="143"/>
        <v>20241017</v>
      </c>
      <c r="B660" s="2" t="str">
        <f>"22512702"</f>
        <v>22512702</v>
      </c>
      <c r="C660" s="2" t="str">
        <f>"정혜진"</f>
        <v>정혜진</v>
      </c>
      <c r="D660" s="2" t="str">
        <f t="shared" si="142"/>
        <v>F</v>
      </c>
      <c r="E660" s="2" t="str">
        <f>"19771030"</f>
        <v>19771030</v>
      </c>
      <c r="F660" s="2" t="str">
        <f>"46"</f>
        <v>46</v>
      </c>
      <c r="G660" s="2" t="str">
        <f t="shared" si="139"/>
        <v>E78660</v>
      </c>
      <c r="H660" s="2" t="str">
        <f t="shared" si="140"/>
        <v>가톨릭대학교 서울성모병원</v>
      </c>
      <c r="I660" s="2" t="str">
        <f t="shared" si="137"/>
        <v>특수</v>
      </c>
    </row>
    <row r="661" spans="1:9" x14ac:dyDescent="0.3">
      <c r="A661" s="2" t="str">
        <f t="shared" si="143"/>
        <v>20241017</v>
      </c>
      <c r="B661" s="2" t="str">
        <f>"31295543"</f>
        <v>31295543</v>
      </c>
      <c r="C661" s="2" t="str">
        <f>"최지은"</f>
        <v>최지은</v>
      </c>
      <c r="D661" s="2" t="str">
        <f t="shared" si="142"/>
        <v>F</v>
      </c>
      <c r="E661" s="2" t="str">
        <f>"19940302"</f>
        <v>19940302</v>
      </c>
      <c r="F661" s="2" t="str">
        <f>"30"</f>
        <v>30</v>
      </c>
      <c r="G661" s="2" t="str">
        <f t="shared" si="139"/>
        <v>E78660</v>
      </c>
      <c r="H661" s="2" t="str">
        <f t="shared" si="140"/>
        <v>가톨릭대학교 서울성모병원</v>
      </c>
      <c r="I661" s="2" t="str">
        <f t="shared" si="137"/>
        <v>특수</v>
      </c>
    </row>
    <row r="662" spans="1:9" x14ac:dyDescent="0.3">
      <c r="A662" s="2" t="str">
        <f t="shared" si="143"/>
        <v>20241017</v>
      </c>
      <c r="B662" s="2" t="str">
        <f>"32304703"</f>
        <v>32304703</v>
      </c>
      <c r="C662" s="2" t="str">
        <f>"노현희"</f>
        <v>노현희</v>
      </c>
      <c r="D662" s="2" t="str">
        <f t="shared" si="142"/>
        <v>F</v>
      </c>
      <c r="E662" s="2" t="str">
        <f>"19950712"</f>
        <v>19950712</v>
      </c>
      <c r="F662" s="2" t="str">
        <f>"29"</f>
        <v>29</v>
      </c>
      <c r="G662" s="2" t="str">
        <f t="shared" si="139"/>
        <v>E78660</v>
      </c>
      <c r="H662" s="2" t="str">
        <f t="shared" si="140"/>
        <v>가톨릭대학교 서울성모병원</v>
      </c>
      <c r="I662" s="2" t="str">
        <f t="shared" si="137"/>
        <v>특수</v>
      </c>
    </row>
    <row r="663" spans="1:9" x14ac:dyDescent="0.3">
      <c r="A663" s="2" t="str">
        <f t="shared" si="143"/>
        <v>20241017</v>
      </c>
      <c r="B663" s="2" t="str">
        <f>"32627384"</f>
        <v>32627384</v>
      </c>
      <c r="C663" s="2" t="str">
        <f>"박소희"</f>
        <v>박소희</v>
      </c>
      <c r="D663" s="2" t="str">
        <f t="shared" si="142"/>
        <v>F</v>
      </c>
      <c r="E663" s="2" t="str">
        <f>"19960124"</f>
        <v>19960124</v>
      </c>
      <c r="F663" s="2" t="str">
        <f>"28"</f>
        <v>28</v>
      </c>
      <c r="G663" s="2" t="str">
        <f t="shared" si="139"/>
        <v>E78660</v>
      </c>
      <c r="H663" s="2" t="str">
        <f t="shared" si="140"/>
        <v>가톨릭대학교 서울성모병원</v>
      </c>
      <c r="I663" s="2" t="str">
        <f t="shared" si="137"/>
        <v>특수</v>
      </c>
    </row>
    <row r="664" spans="1:9" x14ac:dyDescent="0.3">
      <c r="A664" s="2" t="str">
        <f t="shared" si="143"/>
        <v>20241017</v>
      </c>
      <c r="B664" s="2" t="str">
        <f>"34293743"</f>
        <v>34293743</v>
      </c>
      <c r="C664" s="2" t="str">
        <f>"신일섭"</f>
        <v>신일섭</v>
      </c>
      <c r="D664" s="2" t="str">
        <f>"M"</f>
        <v>M</v>
      </c>
      <c r="E664" s="2" t="str">
        <f>"19940826"</f>
        <v>19940826</v>
      </c>
      <c r="F664" s="2" t="str">
        <f>"30"</f>
        <v>30</v>
      </c>
      <c r="G664" s="2" t="str">
        <f t="shared" si="139"/>
        <v>E78660</v>
      </c>
      <c r="H664" s="2" t="str">
        <f t="shared" si="140"/>
        <v>가톨릭대학교 서울성모병원</v>
      </c>
      <c r="I664" s="2" t="str">
        <f t="shared" si="137"/>
        <v>특수</v>
      </c>
    </row>
    <row r="665" spans="1:9" x14ac:dyDescent="0.3">
      <c r="A665" s="2" t="str">
        <f t="shared" si="143"/>
        <v>20241017</v>
      </c>
      <c r="B665" s="2" t="str">
        <f>"36152204"</f>
        <v>36152204</v>
      </c>
      <c r="C665" s="2" t="str">
        <f>"배정선"</f>
        <v>배정선</v>
      </c>
      <c r="D665" s="2" t="str">
        <f>"F"</f>
        <v>F</v>
      </c>
      <c r="E665" s="2" t="str">
        <f>"19960627"</f>
        <v>19960627</v>
      </c>
      <c r="F665" s="2" t="str">
        <f>"28"</f>
        <v>28</v>
      </c>
      <c r="G665" s="2" t="str">
        <f t="shared" si="139"/>
        <v>E78660</v>
      </c>
      <c r="H665" s="2" t="str">
        <f t="shared" si="140"/>
        <v>가톨릭대학교 서울성모병원</v>
      </c>
      <c r="I665" s="2" t="str">
        <f t="shared" si="137"/>
        <v>특수</v>
      </c>
    </row>
    <row r="666" spans="1:9" x14ac:dyDescent="0.3">
      <c r="A666" s="2" t="str">
        <f t="shared" si="143"/>
        <v>20241017</v>
      </c>
      <c r="B666" s="2" t="str">
        <f>"38132965"</f>
        <v>38132965</v>
      </c>
      <c r="C666" s="2" t="str">
        <f>"이현욱"</f>
        <v>이현욱</v>
      </c>
      <c r="D666" s="2" t="str">
        <f>"M"</f>
        <v>M</v>
      </c>
      <c r="E666" s="2" t="str">
        <f>"19971120"</f>
        <v>19971120</v>
      </c>
      <c r="F666" s="2" t="str">
        <f>"26"</f>
        <v>26</v>
      </c>
      <c r="G666" s="2" t="str">
        <f t="shared" si="139"/>
        <v>E78660</v>
      </c>
      <c r="H666" s="2" t="str">
        <f t="shared" si="140"/>
        <v>가톨릭대학교 서울성모병원</v>
      </c>
      <c r="I666" s="2" t="str">
        <f t="shared" si="137"/>
        <v>특수</v>
      </c>
    </row>
    <row r="667" spans="1:9" x14ac:dyDescent="0.3">
      <c r="A667" s="2" t="str">
        <f t="shared" si="143"/>
        <v>20241017</v>
      </c>
      <c r="B667" s="2" t="str">
        <f>"7607703"</f>
        <v>7607703</v>
      </c>
      <c r="C667" s="2" t="str">
        <f>"박순"</f>
        <v>박순</v>
      </c>
      <c r="D667" s="2" t="str">
        <f>"F"</f>
        <v>F</v>
      </c>
      <c r="E667" s="2" t="str">
        <f>"19720904"</f>
        <v>19720904</v>
      </c>
      <c r="F667" s="2" t="str">
        <f>"52"</f>
        <v>52</v>
      </c>
      <c r="G667" s="2" t="str">
        <f t="shared" si="139"/>
        <v>E78660</v>
      </c>
      <c r="H667" s="2" t="str">
        <f t="shared" si="140"/>
        <v>가톨릭대학교 서울성모병원</v>
      </c>
      <c r="I667" s="2" t="str">
        <f t="shared" si="137"/>
        <v>특수</v>
      </c>
    </row>
    <row r="668" spans="1:9" x14ac:dyDescent="0.3">
      <c r="A668" s="2" t="str">
        <f t="shared" si="143"/>
        <v>20241017</v>
      </c>
      <c r="B668" s="2" t="str">
        <f>"9103072"</f>
        <v>9103072</v>
      </c>
      <c r="C668" s="2" t="str">
        <f>"송윤정"</f>
        <v>송윤정</v>
      </c>
      <c r="D668" s="2" t="str">
        <f>"F"</f>
        <v>F</v>
      </c>
      <c r="E668" s="2" t="str">
        <f>"19721120"</f>
        <v>19721120</v>
      </c>
      <c r="F668" s="2" t="str">
        <f>"51"</f>
        <v>51</v>
      </c>
      <c r="G668" s="2" t="str">
        <f t="shared" si="139"/>
        <v>E78660</v>
      </c>
      <c r="H668" s="2" t="str">
        <f t="shared" si="140"/>
        <v>가톨릭대학교 서울성모병원</v>
      </c>
      <c r="I668" s="2" t="str">
        <f t="shared" si="137"/>
        <v>특수</v>
      </c>
    </row>
    <row r="669" spans="1:9" x14ac:dyDescent="0.3">
      <c r="A669" s="2" t="str">
        <f t="shared" ref="A669:A682" si="144">"20241021"</f>
        <v>20241021</v>
      </c>
      <c r="B669" s="2" t="str">
        <f>"11062816"</f>
        <v>11062816</v>
      </c>
      <c r="C669" s="2" t="str">
        <f>"김현정"</f>
        <v>김현정</v>
      </c>
      <c r="D669" s="2" t="str">
        <f>"F"</f>
        <v>F</v>
      </c>
      <c r="E669" s="2" t="str">
        <f>"19781209"</f>
        <v>19781209</v>
      </c>
      <c r="F669" s="2" t="str">
        <f>"45"</f>
        <v>45</v>
      </c>
      <c r="G669" s="2" t="str">
        <f t="shared" si="139"/>
        <v>E78660</v>
      </c>
      <c r="H669" s="2" t="str">
        <f t="shared" si="140"/>
        <v>가톨릭대학교 서울성모병원</v>
      </c>
      <c r="I669" s="2" t="str">
        <f t="shared" si="137"/>
        <v>특수</v>
      </c>
    </row>
    <row r="670" spans="1:9" x14ac:dyDescent="0.3">
      <c r="A670" s="2" t="str">
        <f t="shared" si="144"/>
        <v>20241021</v>
      </c>
      <c r="B670" s="2" t="str">
        <f>"21262211"</f>
        <v>21262211</v>
      </c>
      <c r="C670" s="2" t="str">
        <f>"이창미"</f>
        <v>이창미</v>
      </c>
      <c r="D670" s="2" t="str">
        <f>"F"</f>
        <v>F</v>
      </c>
      <c r="E670" s="2" t="str">
        <f>"19830402"</f>
        <v>19830402</v>
      </c>
      <c r="F670" s="2" t="str">
        <f>"41"</f>
        <v>41</v>
      </c>
      <c r="G670" s="2" t="str">
        <f t="shared" si="139"/>
        <v>E78660</v>
      </c>
      <c r="H670" s="2" t="str">
        <f t="shared" si="140"/>
        <v>가톨릭대학교 서울성모병원</v>
      </c>
      <c r="I670" s="2" t="str">
        <f t="shared" si="137"/>
        <v>특수</v>
      </c>
    </row>
    <row r="671" spans="1:9" x14ac:dyDescent="0.3">
      <c r="A671" s="2" t="str">
        <f t="shared" si="144"/>
        <v>20241021</v>
      </c>
      <c r="B671" s="2" t="str">
        <f>"24094042"</f>
        <v>24094042</v>
      </c>
      <c r="C671" s="2" t="str">
        <f>"최종규"</f>
        <v>최종규</v>
      </c>
      <c r="D671" s="2" t="str">
        <f>"M"</f>
        <v>M</v>
      </c>
      <c r="E671" s="2" t="str">
        <f>"19730210"</f>
        <v>19730210</v>
      </c>
      <c r="F671" s="2" t="str">
        <f>"51"</f>
        <v>51</v>
      </c>
      <c r="G671" s="2" t="str">
        <f>"E80600"</f>
        <v>E80600</v>
      </c>
      <c r="H671" s="2" t="str">
        <f>"베올리아산업개발코리아 주식회사"</f>
        <v>베올리아산업개발코리아 주식회사</v>
      </c>
      <c r="I671" s="2" t="str">
        <f t="shared" si="137"/>
        <v>특수</v>
      </c>
    </row>
    <row r="672" spans="1:9" x14ac:dyDescent="0.3">
      <c r="A672" s="2" t="str">
        <f t="shared" si="144"/>
        <v>20241021</v>
      </c>
      <c r="B672" s="2" t="str">
        <f>"25052544"</f>
        <v>25052544</v>
      </c>
      <c r="C672" s="2" t="str">
        <f>"성주현"</f>
        <v>성주현</v>
      </c>
      <c r="D672" s="2" t="str">
        <f>"F"</f>
        <v>F</v>
      </c>
      <c r="E672" s="2" t="str">
        <f>"19931109"</f>
        <v>19931109</v>
      </c>
      <c r="F672" s="2" t="str">
        <f>"30"</f>
        <v>30</v>
      </c>
      <c r="G672" s="2" t="str">
        <f>"E78660"</f>
        <v>E78660</v>
      </c>
      <c r="H672" s="2" t="str">
        <f>"가톨릭대학교 서울성모병원"</f>
        <v>가톨릭대학교 서울성모병원</v>
      </c>
      <c r="I672" s="2" t="str">
        <f t="shared" si="137"/>
        <v>특수</v>
      </c>
    </row>
    <row r="673" spans="1:9" x14ac:dyDescent="0.3">
      <c r="A673" s="2" t="str">
        <f t="shared" si="144"/>
        <v>20241021</v>
      </c>
      <c r="B673" s="2" t="str">
        <f>"25252524"</f>
        <v>25252524</v>
      </c>
      <c r="C673" s="2" t="str">
        <f>"조예실"</f>
        <v>조예실</v>
      </c>
      <c r="D673" s="2" t="str">
        <f>"F"</f>
        <v>F</v>
      </c>
      <c r="E673" s="2" t="str">
        <f>"19890911"</f>
        <v>19890911</v>
      </c>
      <c r="F673" s="2" t="str">
        <f>"35"</f>
        <v>35</v>
      </c>
      <c r="G673" s="2" t="str">
        <f>"E78660"</f>
        <v>E78660</v>
      </c>
      <c r="H673" s="2" t="str">
        <f>"가톨릭대학교 서울성모병원"</f>
        <v>가톨릭대학교 서울성모병원</v>
      </c>
      <c r="I673" s="2" t="str">
        <f t="shared" si="137"/>
        <v>특수</v>
      </c>
    </row>
    <row r="674" spans="1:9" x14ac:dyDescent="0.3">
      <c r="A674" s="2" t="str">
        <f t="shared" si="144"/>
        <v>20241021</v>
      </c>
      <c r="B674" s="2" t="str">
        <f>"32007702"</f>
        <v>32007702</v>
      </c>
      <c r="C674" s="2" t="str">
        <f>"홍승아"</f>
        <v>홍승아</v>
      </c>
      <c r="D674" s="2" t="str">
        <f>"F"</f>
        <v>F</v>
      </c>
      <c r="E674" s="2" t="str">
        <f>"20000302"</f>
        <v>20000302</v>
      </c>
      <c r="F674" s="2" t="str">
        <f>"24"</f>
        <v>24</v>
      </c>
      <c r="G674" s="2" t="str">
        <f>"E78660"</f>
        <v>E78660</v>
      </c>
      <c r="H674" s="2" t="str">
        <f>"가톨릭대학교 서울성모병원"</f>
        <v>가톨릭대학교 서울성모병원</v>
      </c>
      <c r="I674" s="2" t="str">
        <f t="shared" si="137"/>
        <v>특수</v>
      </c>
    </row>
    <row r="675" spans="1:9" x14ac:dyDescent="0.3">
      <c r="A675" s="2" t="str">
        <f t="shared" si="144"/>
        <v>20241021</v>
      </c>
      <c r="B675" s="2" t="str">
        <f>"32229672"</f>
        <v>32229672</v>
      </c>
      <c r="C675" s="2" t="str">
        <f>"채호진"</f>
        <v>채호진</v>
      </c>
      <c r="D675" s="2" t="str">
        <f>"M"</f>
        <v>M</v>
      </c>
      <c r="E675" s="2" t="str">
        <f>"19800129"</f>
        <v>19800129</v>
      </c>
      <c r="F675" s="2" t="str">
        <f>"44"</f>
        <v>44</v>
      </c>
      <c r="G675" s="2" t="str">
        <f>"E80600"</f>
        <v>E80600</v>
      </c>
      <c r="H675" s="2" t="str">
        <f>"베올리아산업개발코리아 주식회사"</f>
        <v>베올리아산업개발코리아 주식회사</v>
      </c>
      <c r="I675" s="2" t="str">
        <f t="shared" si="137"/>
        <v>특수</v>
      </c>
    </row>
    <row r="676" spans="1:9" x14ac:dyDescent="0.3">
      <c r="A676" s="2" t="str">
        <f t="shared" si="144"/>
        <v>20241021</v>
      </c>
      <c r="B676" s="2" t="str">
        <f>"32525172"</f>
        <v>32525172</v>
      </c>
      <c r="C676" s="2" t="str">
        <f>"박상현"</f>
        <v>박상현</v>
      </c>
      <c r="D676" s="2" t="str">
        <f>"M"</f>
        <v>M</v>
      </c>
      <c r="E676" s="2" t="str">
        <f>"19740901"</f>
        <v>19740901</v>
      </c>
      <c r="F676" s="2" t="str">
        <f>"50"</f>
        <v>50</v>
      </c>
      <c r="G676" s="2" t="str">
        <f>"E80600"</f>
        <v>E80600</v>
      </c>
      <c r="H676" s="2" t="str">
        <f>"베올리아산업개발코리아 주식회사"</f>
        <v>베올리아산업개발코리아 주식회사</v>
      </c>
      <c r="I676" s="2" t="str">
        <f t="shared" si="137"/>
        <v>특수</v>
      </c>
    </row>
    <row r="677" spans="1:9" x14ac:dyDescent="0.3">
      <c r="A677" s="2" t="str">
        <f t="shared" si="144"/>
        <v>20241021</v>
      </c>
      <c r="B677" s="2" t="str">
        <f>"32894305"</f>
        <v>32894305</v>
      </c>
      <c r="C677" s="2" t="str">
        <f>"김광용"</f>
        <v>김광용</v>
      </c>
      <c r="D677" s="2" t="str">
        <f>"M"</f>
        <v>M</v>
      </c>
      <c r="E677" s="2" t="str">
        <f>"19850628"</f>
        <v>19850628</v>
      </c>
      <c r="F677" s="2" t="str">
        <f>"39"</f>
        <v>39</v>
      </c>
      <c r="G677" s="2" t="str">
        <f>"E80600"</f>
        <v>E80600</v>
      </c>
      <c r="H677" s="2" t="str">
        <f>"베올리아산업개발코리아 주식회사"</f>
        <v>베올리아산업개발코리아 주식회사</v>
      </c>
      <c r="I677" s="2" t="str">
        <f t="shared" si="137"/>
        <v>특수</v>
      </c>
    </row>
    <row r="678" spans="1:9" x14ac:dyDescent="0.3">
      <c r="A678" s="2" t="str">
        <f t="shared" si="144"/>
        <v>20241021</v>
      </c>
      <c r="B678" s="2" t="str">
        <f>"35213223"</f>
        <v>35213223</v>
      </c>
      <c r="C678" s="2" t="str">
        <f>"김인경"</f>
        <v>김인경</v>
      </c>
      <c r="D678" s="2" t="str">
        <f>"F"</f>
        <v>F</v>
      </c>
      <c r="E678" s="2" t="str">
        <f>"19971229"</f>
        <v>19971229</v>
      </c>
      <c r="F678" s="2" t="str">
        <f>"26"</f>
        <v>26</v>
      </c>
      <c r="G678" s="2" t="str">
        <f>"E78660"</f>
        <v>E78660</v>
      </c>
      <c r="H678" s="2" t="str">
        <f>"가톨릭대학교 서울성모병원"</f>
        <v>가톨릭대학교 서울성모병원</v>
      </c>
      <c r="I678" s="2" t="str">
        <f t="shared" si="137"/>
        <v>특수</v>
      </c>
    </row>
    <row r="679" spans="1:9" x14ac:dyDescent="0.3">
      <c r="A679" s="2" t="str">
        <f t="shared" si="144"/>
        <v>20241021</v>
      </c>
      <c r="B679" s="2" t="str">
        <f>"35292922"</f>
        <v>35292922</v>
      </c>
      <c r="C679" s="2" t="str">
        <f>"조현"</f>
        <v>조현</v>
      </c>
      <c r="D679" s="2" t="str">
        <f>"M"</f>
        <v>M</v>
      </c>
      <c r="E679" s="2" t="str">
        <f>"19940304"</f>
        <v>19940304</v>
      </c>
      <c r="F679" s="2" t="str">
        <f>"30"</f>
        <v>30</v>
      </c>
      <c r="G679" s="2" t="str">
        <f>"E80600"</f>
        <v>E80600</v>
      </c>
      <c r="H679" s="2" t="str">
        <f>"베올리아산업개발코리아 주식회사"</f>
        <v>베올리아산업개발코리아 주식회사</v>
      </c>
      <c r="I679" s="2" t="str">
        <f t="shared" si="137"/>
        <v>특수</v>
      </c>
    </row>
    <row r="680" spans="1:9" x14ac:dyDescent="0.3">
      <c r="A680" s="2" t="str">
        <f t="shared" si="144"/>
        <v>20241021</v>
      </c>
      <c r="B680" s="2" t="str">
        <f>"38036612"</f>
        <v>38036612</v>
      </c>
      <c r="C680" s="2" t="str">
        <f>"선지원"</f>
        <v>선지원</v>
      </c>
      <c r="D680" s="2" t="str">
        <f>"F"</f>
        <v>F</v>
      </c>
      <c r="E680" s="2" t="str">
        <f>"19981009"</f>
        <v>19981009</v>
      </c>
      <c r="F680" s="2" t="str">
        <f>"26"</f>
        <v>26</v>
      </c>
      <c r="G680" s="2" t="str">
        <f>"E78660"</f>
        <v>E78660</v>
      </c>
      <c r="H680" s="2" t="str">
        <f>"가톨릭대학교 서울성모병원"</f>
        <v>가톨릭대학교 서울성모병원</v>
      </c>
      <c r="I680" s="2" t="str">
        <f t="shared" si="137"/>
        <v>특수</v>
      </c>
    </row>
    <row r="681" spans="1:9" x14ac:dyDescent="0.3">
      <c r="A681" s="2" t="str">
        <f t="shared" si="144"/>
        <v>20241021</v>
      </c>
      <c r="B681" s="2" t="str">
        <f>"38425432"</f>
        <v>38425432</v>
      </c>
      <c r="C681" s="2" t="str">
        <f>"이지원"</f>
        <v>이지원</v>
      </c>
      <c r="D681" s="2" t="str">
        <f>"F"</f>
        <v>F</v>
      </c>
      <c r="E681" s="2" t="str">
        <f>"20000714"</f>
        <v>20000714</v>
      </c>
      <c r="F681" s="2" t="str">
        <f>"24"</f>
        <v>24</v>
      </c>
      <c r="G681" s="2" t="str">
        <f>"E78660"</f>
        <v>E78660</v>
      </c>
      <c r="H681" s="2" t="str">
        <f>"가톨릭대학교 서울성모병원"</f>
        <v>가톨릭대학교 서울성모병원</v>
      </c>
      <c r="I681" s="2" t="str">
        <f t="shared" si="137"/>
        <v>특수</v>
      </c>
    </row>
    <row r="682" spans="1:9" x14ac:dyDescent="0.3">
      <c r="A682" s="2" t="str">
        <f t="shared" si="144"/>
        <v>20241021</v>
      </c>
      <c r="B682" s="2" t="str">
        <f>"38704275"</f>
        <v>38704275</v>
      </c>
      <c r="C682" s="2" t="str">
        <f>"황규범"</f>
        <v>황규범</v>
      </c>
      <c r="D682" s="2" t="str">
        <f>"M"</f>
        <v>M</v>
      </c>
      <c r="E682" s="2" t="str">
        <f>"19970708"</f>
        <v>19970708</v>
      </c>
      <c r="F682" s="2" t="str">
        <f>"27"</f>
        <v>27</v>
      </c>
      <c r="G682" s="2" t="str">
        <f>"E80600"</f>
        <v>E80600</v>
      </c>
      <c r="H682" s="2" t="str">
        <f>"베올리아산업개발코리아 주식회사"</f>
        <v>베올리아산업개발코리아 주식회사</v>
      </c>
      <c r="I682" s="2" t="str">
        <f t="shared" si="137"/>
        <v>특수</v>
      </c>
    </row>
    <row r="683" spans="1:9" x14ac:dyDescent="0.3">
      <c r="A683" s="2" t="str">
        <f t="shared" ref="A683:A694" si="145">"20241022"</f>
        <v>20241022</v>
      </c>
      <c r="B683" s="2" t="str">
        <f>"17419458"</f>
        <v>17419458</v>
      </c>
      <c r="C683" s="2" t="str">
        <f>"박정화"</f>
        <v>박정화</v>
      </c>
      <c r="D683" s="2" t="str">
        <f t="shared" ref="D683:D691" si="146">"F"</f>
        <v>F</v>
      </c>
      <c r="E683" s="2" t="str">
        <f>"19641217"</f>
        <v>19641217</v>
      </c>
      <c r="F683" s="2" t="str">
        <f>"59"</f>
        <v>59</v>
      </c>
      <c r="G683" s="2" t="str">
        <f t="shared" ref="G683:G698" si="147">"E78660"</f>
        <v>E78660</v>
      </c>
      <c r="H683" s="2" t="str">
        <f t="shared" ref="H683:H698" si="148">"가톨릭대학교 서울성모병원"</f>
        <v>가톨릭대학교 서울성모병원</v>
      </c>
      <c r="I683" s="2" t="str">
        <f t="shared" si="137"/>
        <v>특수</v>
      </c>
    </row>
    <row r="684" spans="1:9" x14ac:dyDescent="0.3">
      <c r="A684" s="2" t="str">
        <f t="shared" si="145"/>
        <v>20241022</v>
      </c>
      <c r="B684" s="2" t="str">
        <f>"17606218"</f>
        <v>17606218</v>
      </c>
      <c r="C684" s="2" t="str">
        <f>"최수희"</f>
        <v>최수희</v>
      </c>
      <c r="D684" s="2" t="str">
        <f t="shared" si="146"/>
        <v>F</v>
      </c>
      <c r="E684" s="2" t="str">
        <f>"19820215"</f>
        <v>19820215</v>
      </c>
      <c r="F684" s="2" t="str">
        <f>"42"</f>
        <v>42</v>
      </c>
      <c r="G684" s="2" t="str">
        <f t="shared" si="147"/>
        <v>E78660</v>
      </c>
      <c r="H684" s="2" t="str">
        <f t="shared" si="148"/>
        <v>가톨릭대학교 서울성모병원</v>
      </c>
      <c r="I684" s="2" t="str">
        <f t="shared" si="137"/>
        <v>특수</v>
      </c>
    </row>
    <row r="685" spans="1:9" x14ac:dyDescent="0.3">
      <c r="A685" s="2" t="str">
        <f t="shared" si="145"/>
        <v>20241022</v>
      </c>
      <c r="B685" s="2" t="str">
        <f>"19253037"</f>
        <v>19253037</v>
      </c>
      <c r="C685" s="2" t="str">
        <f>"강은형"</f>
        <v>강은형</v>
      </c>
      <c r="D685" s="2" t="str">
        <f t="shared" si="146"/>
        <v>F</v>
      </c>
      <c r="E685" s="2" t="str">
        <f>"19850718"</f>
        <v>19850718</v>
      </c>
      <c r="F685" s="2" t="str">
        <f>"39"</f>
        <v>39</v>
      </c>
      <c r="G685" s="2" t="str">
        <f t="shared" si="147"/>
        <v>E78660</v>
      </c>
      <c r="H685" s="2" t="str">
        <f t="shared" si="148"/>
        <v>가톨릭대학교 서울성모병원</v>
      </c>
      <c r="I685" s="2" t="str">
        <f>"배치전"</f>
        <v>배치전</v>
      </c>
    </row>
    <row r="686" spans="1:9" x14ac:dyDescent="0.3">
      <c r="A686" s="2" t="str">
        <f t="shared" si="145"/>
        <v>20241022</v>
      </c>
      <c r="B686" s="2" t="str">
        <f>"24194284"</f>
        <v>24194284</v>
      </c>
      <c r="C686" s="2" t="str">
        <f>"성수연"</f>
        <v>성수연</v>
      </c>
      <c r="D686" s="2" t="str">
        <f t="shared" si="146"/>
        <v>F</v>
      </c>
      <c r="E686" s="2" t="str">
        <f>"19870919"</f>
        <v>19870919</v>
      </c>
      <c r="F686" s="2" t="str">
        <f>"37"</f>
        <v>37</v>
      </c>
      <c r="G686" s="2" t="str">
        <f t="shared" si="147"/>
        <v>E78660</v>
      </c>
      <c r="H686" s="2" t="str">
        <f t="shared" si="148"/>
        <v>가톨릭대학교 서울성모병원</v>
      </c>
      <c r="I686" s="2" t="str">
        <f>"특수"</f>
        <v>특수</v>
      </c>
    </row>
    <row r="687" spans="1:9" x14ac:dyDescent="0.3">
      <c r="A687" s="2" t="str">
        <f t="shared" si="145"/>
        <v>20241022</v>
      </c>
      <c r="B687" s="2" t="str">
        <f>"26988961"</f>
        <v>26988961</v>
      </c>
      <c r="C687" s="2" t="str">
        <f>"김현진"</f>
        <v>김현진</v>
      </c>
      <c r="D687" s="2" t="str">
        <f t="shared" si="146"/>
        <v>F</v>
      </c>
      <c r="E687" s="2" t="str">
        <f>"19910625"</f>
        <v>19910625</v>
      </c>
      <c r="F687" s="2" t="str">
        <f>"33"</f>
        <v>33</v>
      </c>
      <c r="G687" s="2" t="str">
        <f t="shared" si="147"/>
        <v>E78660</v>
      </c>
      <c r="H687" s="2" t="str">
        <f t="shared" si="148"/>
        <v>가톨릭대학교 서울성모병원</v>
      </c>
      <c r="I687" s="2" t="str">
        <f>"특수"</f>
        <v>특수</v>
      </c>
    </row>
    <row r="688" spans="1:9" x14ac:dyDescent="0.3">
      <c r="A688" s="2" t="str">
        <f t="shared" si="145"/>
        <v>20241022</v>
      </c>
      <c r="B688" s="2" t="str">
        <f>"33448554"</f>
        <v>33448554</v>
      </c>
      <c r="C688" s="2" t="str">
        <f>"정유빈"</f>
        <v>정유빈</v>
      </c>
      <c r="D688" s="2" t="str">
        <f t="shared" si="146"/>
        <v>F</v>
      </c>
      <c r="E688" s="2" t="str">
        <f>"20010216"</f>
        <v>20010216</v>
      </c>
      <c r="F688" s="2" t="str">
        <f>"23"</f>
        <v>23</v>
      </c>
      <c r="G688" s="2" t="str">
        <f t="shared" si="147"/>
        <v>E78660</v>
      </c>
      <c r="H688" s="2" t="str">
        <f t="shared" si="148"/>
        <v>가톨릭대학교 서울성모병원</v>
      </c>
      <c r="I688" s="2" t="str">
        <f>"배치후"</f>
        <v>배치후</v>
      </c>
    </row>
    <row r="689" spans="1:9" x14ac:dyDescent="0.3">
      <c r="A689" s="2" t="str">
        <f t="shared" si="145"/>
        <v>20241022</v>
      </c>
      <c r="B689" s="2" t="str">
        <f>"34293224"</f>
        <v>34293224</v>
      </c>
      <c r="C689" s="2" t="str">
        <f>"이지은"</f>
        <v>이지은</v>
      </c>
      <c r="D689" s="2" t="str">
        <f t="shared" si="146"/>
        <v>F</v>
      </c>
      <c r="E689" s="2" t="str">
        <f>"19940620"</f>
        <v>19940620</v>
      </c>
      <c r="F689" s="2" t="str">
        <f>"30"</f>
        <v>30</v>
      </c>
      <c r="G689" s="2" t="str">
        <f t="shared" si="147"/>
        <v>E78660</v>
      </c>
      <c r="H689" s="2" t="str">
        <f t="shared" si="148"/>
        <v>가톨릭대학교 서울성모병원</v>
      </c>
      <c r="I689" s="2" t="str">
        <f>"특수"</f>
        <v>특수</v>
      </c>
    </row>
    <row r="690" spans="1:9" x14ac:dyDescent="0.3">
      <c r="A690" s="2" t="str">
        <f t="shared" si="145"/>
        <v>20241022</v>
      </c>
      <c r="B690" s="2" t="str">
        <f>"37198561"</f>
        <v>37198561</v>
      </c>
      <c r="C690" s="2" t="str">
        <f>"심은정"</f>
        <v>심은정</v>
      </c>
      <c r="D690" s="2" t="str">
        <f t="shared" si="146"/>
        <v>F</v>
      </c>
      <c r="E690" s="2" t="str">
        <f>"19990530"</f>
        <v>19990530</v>
      </c>
      <c r="F690" s="2" t="str">
        <f>"25"</f>
        <v>25</v>
      </c>
      <c r="G690" s="2" t="str">
        <f t="shared" si="147"/>
        <v>E78660</v>
      </c>
      <c r="H690" s="2" t="str">
        <f t="shared" si="148"/>
        <v>가톨릭대학교 서울성모병원</v>
      </c>
      <c r="I690" s="2" t="str">
        <f>"특수"</f>
        <v>특수</v>
      </c>
    </row>
    <row r="691" spans="1:9" x14ac:dyDescent="0.3">
      <c r="A691" s="2" t="str">
        <f t="shared" si="145"/>
        <v>20241022</v>
      </c>
      <c r="B691" s="2" t="str">
        <f>"38541772"</f>
        <v>38541772</v>
      </c>
      <c r="C691" s="2" t="str">
        <f>"김희경"</f>
        <v>김희경</v>
      </c>
      <c r="D691" s="2" t="str">
        <f t="shared" si="146"/>
        <v>F</v>
      </c>
      <c r="E691" s="2" t="str">
        <f>"19970718"</f>
        <v>19970718</v>
      </c>
      <c r="F691" s="2" t="str">
        <f>"27"</f>
        <v>27</v>
      </c>
      <c r="G691" s="2" t="str">
        <f t="shared" si="147"/>
        <v>E78660</v>
      </c>
      <c r="H691" s="2" t="str">
        <f t="shared" si="148"/>
        <v>가톨릭대학교 서울성모병원</v>
      </c>
      <c r="I691" s="2" t="str">
        <f>"특수"</f>
        <v>특수</v>
      </c>
    </row>
    <row r="692" spans="1:9" x14ac:dyDescent="0.3">
      <c r="A692" s="2" t="str">
        <f t="shared" si="145"/>
        <v>20241022</v>
      </c>
      <c r="B692" s="2" t="str">
        <f>"39758882"</f>
        <v>39758882</v>
      </c>
      <c r="C692" s="2" t="str">
        <f>"고대훈"</f>
        <v>고대훈</v>
      </c>
      <c r="D692" s="2" t="str">
        <f>"M"</f>
        <v>M</v>
      </c>
      <c r="E692" s="2" t="str">
        <f>"19960802"</f>
        <v>19960802</v>
      </c>
      <c r="F692" s="2" t="str">
        <f>"28"</f>
        <v>28</v>
      </c>
      <c r="G692" s="2" t="str">
        <f t="shared" si="147"/>
        <v>E78660</v>
      </c>
      <c r="H692" s="2" t="str">
        <f t="shared" si="148"/>
        <v>가톨릭대학교 서울성모병원</v>
      </c>
      <c r="I692" s="2" t="str">
        <f>"배치후"</f>
        <v>배치후</v>
      </c>
    </row>
    <row r="693" spans="1:9" x14ac:dyDescent="0.3">
      <c r="A693" s="2" t="str">
        <f t="shared" si="145"/>
        <v>20241022</v>
      </c>
      <c r="B693" s="2" t="str">
        <f>"40307666"</f>
        <v>40307666</v>
      </c>
      <c r="C693" s="2" t="str">
        <f>"이병헌"</f>
        <v>이병헌</v>
      </c>
      <c r="D693" s="2" t="str">
        <f>"M"</f>
        <v>M</v>
      </c>
      <c r="E693" s="2" t="str">
        <f>"19990918"</f>
        <v>19990918</v>
      </c>
      <c r="F693" s="2" t="str">
        <f>"25"</f>
        <v>25</v>
      </c>
      <c r="G693" s="2" t="str">
        <f t="shared" si="147"/>
        <v>E78660</v>
      </c>
      <c r="H693" s="2" t="str">
        <f t="shared" si="148"/>
        <v>가톨릭대학교 서울성모병원</v>
      </c>
      <c r="I693" s="2" t="str">
        <f>"배치전"</f>
        <v>배치전</v>
      </c>
    </row>
    <row r="694" spans="1:9" x14ac:dyDescent="0.3">
      <c r="A694" s="2" t="str">
        <f t="shared" si="145"/>
        <v>20241022</v>
      </c>
      <c r="B694" s="2" t="str">
        <f>"9741290"</f>
        <v>9741290</v>
      </c>
      <c r="C694" s="2" t="str">
        <f>"김신덕"</f>
        <v>김신덕</v>
      </c>
      <c r="D694" s="2" t="str">
        <f>"F"</f>
        <v>F</v>
      </c>
      <c r="E694" s="2" t="str">
        <f>"19720430"</f>
        <v>19720430</v>
      </c>
      <c r="F694" s="2" t="str">
        <f>"52"</f>
        <v>52</v>
      </c>
      <c r="G694" s="2" t="str">
        <f t="shared" si="147"/>
        <v>E78660</v>
      </c>
      <c r="H694" s="2" t="str">
        <f t="shared" si="148"/>
        <v>가톨릭대학교 서울성모병원</v>
      </c>
      <c r="I694" s="2" t="str">
        <f>"특수"</f>
        <v>특수</v>
      </c>
    </row>
    <row r="695" spans="1:9" x14ac:dyDescent="0.3">
      <c r="A695" s="2" t="str">
        <f t="shared" ref="A695:A714" si="149">"20241023"</f>
        <v>20241023</v>
      </c>
      <c r="B695" s="2" t="str">
        <f>"11332493"</f>
        <v>11332493</v>
      </c>
      <c r="C695" s="2" t="str">
        <f>"이우림"</f>
        <v>이우림</v>
      </c>
      <c r="D695" s="2" t="str">
        <f>"F"</f>
        <v>F</v>
      </c>
      <c r="E695" s="2" t="str">
        <f>"19980225"</f>
        <v>19980225</v>
      </c>
      <c r="F695" s="2" t="str">
        <f>"26"</f>
        <v>26</v>
      </c>
      <c r="G695" s="2" t="str">
        <f t="shared" si="147"/>
        <v>E78660</v>
      </c>
      <c r="H695" s="2" t="str">
        <f t="shared" si="148"/>
        <v>가톨릭대학교 서울성모병원</v>
      </c>
      <c r="I695" s="2" t="str">
        <f>"배치후"</f>
        <v>배치후</v>
      </c>
    </row>
    <row r="696" spans="1:9" x14ac:dyDescent="0.3">
      <c r="A696" s="2" t="str">
        <f t="shared" si="149"/>
        <v>20241023</v>
      </c>
      <c r="B696" s="2" t="str">
        <f>"15691013"</f>
        <v>15691013</v>
      </c>
      <c r="C696" s="2" t="str">
        <f>"손인옥"</f>
        <v>손인옥</v>
      </c>
      <c r="D696" s="2" t="str">
        <f>"F"</f>
        <v>F</v>
      </c>
      <c r="E696" s="2" t="str">
        <f>"19850206"</f>
        <v>19850206</v>
      </c>
      <c r="F696" s="2" t="str">
        <f>"39"</f>
        <v>39</v>
      </c>
      <c r="G696" s="2" t="str">
        <f t="shared" si="147"/>
        <v>E78660</v>
      </c>
      <c r="H696" s="2" t="str">
        <f t="shared" si="148"/>
        <v>가톨릭대학교 서울성모병원</v>
      </c>
      <c r="I696" s="2" t="str">
        <f>"특수"</f>
        <v>특수</v>
      </c>
    </row>
    <row r="697" spans="1:9" x14ac:dyDescent="0.3">
      <c r="A697" s="2" t="str">
        <f t="shared" si="149"/>
        <v>20241023</v>
      </c>
      <c r="B697" s="2" t="str">
        <f>"16171009"</f>
        <v>16171009</v>
      </c>
      <c r="C697" s="2" t="str">
        <f>"김채원"</f>
        <v>김채원</v>
      </c>
      <c r="D697" s="2" t="str">
        <f>"F"</f>
        <v>F</v>
      </c>
      <c r="E697" s="2" t="str">
        <f>"19960116"</f>
        <v>19960116</v>
      </c>
      <c r="F697" s="2" t="str">
        <f>"28"</f>
        <v>28</v>
      </c>
      <c r="G697" s="2" t="str">
        <f t="shared" si="147"/>
        <v>E78660</v>
      </c>
      <c r="H697" s="2" t="str">
        <f t="shared" si="148"/>
        <v>가톨릭대학교 서울성모병원</v>
      </c>
      <c r="I697" s="2" t="str">
        <f>"배치전"</f>
        <v>배치전</v>
      </c>
    </row>
    <row r="698" spans="1:9" x14ac:dyDescent="0.3">
      <c r="A698" s="2" t="str">
        <f t="shared" si="149"/>
        <v>20241023</v>
      </c>
      <c r="B698" s="2" t="str">
        <f>"19795482"</f>
        <v>19795482</v>
      </c>
      <c r="C698" s="2" t="str">
        <f>"차승훈"</f>
        <v>차승훈</v>
      </c>
      <c r="D698" s="2" t="str">
        <f>"M"</f>
        <v>M</v>
      </c>
      <c r="E698" s="2" t="str">
        <f>"19821121"</f>
        <v>19821121</v>
      </c>
      <c r="F698" s="2" t="str">
        <f>"41"</f>
        <v>41</v>
      </c>
      <c r="G698" s="2" t="str">
        <f t="shared" si="147"/>
        <v>E78660</v>
      </c>
      <c r="H698" s="2" t="str">
        <f t="shared" si="148"/>
        <v>가톨릭대학교 서울성모병원</v>
      </c>
      <c r="I698" s="2" t="str">
        <f t="shared" ref="I698:I705" si="150">"특수"</f>
        <v>특수</v>
      </c>
    </row>
    <row r="699" spans="1:9" x14ac:dyDescent="0.3">
      <c r="A699" s="2" t="str">
        <f t="shared" si="149"/>
        <v>20241023</v>
      </c>
      <c r="B699" s="2" t="str">
        <f>"21016325"</f>
        <v>21016325</v>
      </c>
      <c r="C699" s="2" t="str">
        <f>"박현우"</f>
        <v>박현우</v>
      </c>
      <c r="D699" s="2" t="str">
        <f>"M"</f>
        <v>M</v>
      </c>
      <c r="E699" s="2" t="str">
        <f>"19790303"</f>
        <v>19790303</v>
      </c>
      <c r="F699" s="2" t="str">
        <f>"45"</f>
        <v>45</v>
      </c>
      <c r="G699" s="2" t="str">
        <f>"E80600"</f>
        <v>E80600</v>
      </c>
      <c r="H699" s="2" t="str">
        <f>"베올리아산업개발코리아 주식회사"</f>
        <v>베올리아산업개발코리아 주식회사</v>
      </c>
      <c r="I699" s="2" t="str">
        <f t="shared" si="150"/>
        <v>특수</v>
      </c>
    </row>
    <row r="700" spans="1:9" x14ac:dyDescent="0.3">
      <c r="A700" s="2" t="str">
        <f t="shared" si="149"/>
        <v>20241023</v>
      </c>
      <c r="B700" s="2" t="str">
        <f>"21773384"</f>
        <v>21773384</v>
      </c>
      <c r="C700" s="2" t="str">
        <f>"곽나영"</f>
        <v>곽나영</v>
      </c>
      <c r="D700" s="2" t="str">
        <f>"F"</f>
        <v>F</v>
      </c>
      <c r="E700" s="2" t="str">
        <f>"19820402"</f>
        <v>19820402</v>
      </c>
      <c r="F700" s="2" t="str">
        <f>"42"</f>
        <v>42</v>
      </c>
      <c r="G700" s="2" t="str">
        <f t="shared" ref="G700:G726" si="151">"E78660"</f>
        <v>E78660</v>
      </c>
      <c r="H700" s="2" t="str">
        <f t="shared" ref="H700:H726" si="152">"가톨릭대학교 서울성모병원"</f>
        <v>가톨릭대학교 서울성모병원</v>
      </c>
      <c r="I700" s="2" t="str">
        <f t="shared" si="150"/>
        <v>특수</v>
      </c>
    </row>
    <row r="701" spans="1:9" x14ac:dyDescent="0.3">
      <c r="A701" s="2" t="str">
        <f t="shared" si="149"/>
        <v>20241023</v>
      </c>
      <c r="B701" s="2" t="str">
        <f>"23094331"</f>
        <v>23094331</v>
      </c>
      <c r="C701" s="2" t="str">
        <f>"박동주"</f>
        <v>박동주</v>
      </c>
      <c r="D701" s="2" t="str">
        <f>"M"</f>
        <v>M</v>
      </c>
      <c r="E701" s="2" t="str">
        <f>"19851016"</f>
        <v>19851016</v>
      </c>
      <c r="F701" s="2" t="str">
        <f>"39"</f>
        <v>39</v>
      </c>
      <c r="G701" s="2" t="str">
        <f t="shared" si="151"/>
        <v>E78660</v>
      </c>
      <c r="H701" s="2" t="str">
        <f t="shared" si="152"/>
        <v>가톨릭대학교 서울성모병원</v>
      </c>
      <c r="I701" s="2" t="str">
        <f t="shared" si="150"/>
        <v>특수</v>
      </c>
    </row>
    <row r="702" spans="1:9" x14ac:dyDescent="0.3">
      <c r="A702" s="2" t="str">
        <f t="shared" si="149"/>
        <v>20241023</v>
      </c>
      <c r="B702" s="2" t="str">
        <f>"24302105"</f>
        <v>24302105</v>
      </c>
      <c r="C702" s="2" t="str">
        <f>"김진선"</f>
        <v>김진선</v>
      </c>
      <c r="D702" s="2" t="str">
        <f>"F"</f>
        <v>F</v>
      </c>
      <c r="E702" s="2" t="str">
        <f>"19890118"</f>
        <v>19890118</v>
      </c>
      <c r="F702" s="2" t="str">
        <f>"35"</f>
        <v>35</v>
      </c>
      <c r="G702" s="2" t="str">
        <f t="shared" si="151"/>
        <v>E78660</v>
      </c>
      <c r="H702" s="2" t="str">
        <f t="shared" si="152"/>
        <v>가톨릭대학교 서울성모병원</v>
      </c>
      <c r="I702" s="2" t="str">
        <f t="shared" si="150"/>
        <v>특수</v>
      </c>
    </row>
    <row r="703" spans="1:9" x14ac:dyDescent="0.3">
      <c r="A703" s="2" t="str">
        <f t="shared" si="149"/>
        <v>20241023</v>
      </c>
      <c r="B703" s="2" t="str">
        <f>"25053022"</f>
        <v>25053022</v>
      </c>
      <c r="C703" s="2" t="str">
        <f>"김지윤"</f>
        <v>김지윤</v>
      </c>
      <c r="D703" s="2" t="str">
        <f>"F"</f>
        <v>F</v>
      </c>
      <c r="E703" s="2" t="str">
        <f>"19900131"</f>
        <v>19900131</v>
      </c>
      <c r="F703" s="2" t="str">
        <f>"34"</f>
        <v>34</v>
      </c>
      <c r="G703" s="2" t="str">
        <f t="shared" si="151"/>
        <v>E78660</v>
      </c>
      <c r="H703" s="2" t="str">
        <f t="shared" si="152"/>
        <v>가톨릭대학교 서울성모병원</v>
      </c>
      <c r="I703" s="2" t="str">
        <f t="shared" si="150"/>
        <v>특수</v>
      </c>
    </row>
    <row r="704" spans="1:9" x14ac:dyDescent="0.3">
      <c r="A704" s="2" t="str">
        <f t="shared" si="149"/>
        <v>20241023</v>
      </c>
      <c r="B704" s="2" t="str">
        <f>"28919221"</f>
        <v>28919221</v>
      </c>
      <c r="C704" s="2" t="str">
        <f>"강민경"</f>
        <v>강민경</v>
      </c>
      <c r="D704" s="2" t="str">
        <f>"F"</f>
        <v>F</v>
      </c>
      <c r="E704" s="2" t="str">
        <f>"19920502"</f>
        <v>19920502</v>
      </c>
      <c r="F704" s="2" t="str">
        <f>"32"</f>
        <v>32</v>
      </c>
      <c r="G704" s="2" t="str">
        <f t="shared" si="151"/>
        <v>E78660</v>
      </c>
      <c r="H704" s="2" t="str">
        <f t="shared" si="152"/>
        <v>가톨릭대학교 서울성모병원</v>
      </c>
      <c r="I704" s="2" t="str">
        <f t="shared" si="150"/>
        <v>특수</v>
      </c>
    </row>
    <row r="705" spans="1:9" x14ac:dyDescent="0.3">
      <c r="A705" s="2" t="str">
        <f t="shared" si="149"/>
        <v>20241023</v>
      </c>
      <c r="B705" s="2" t="str">
        <f>"30794934"</f>
        <v>30794934</v>
      </c>
      <c r="C705" s="2" t="str">
        <f>"김현우"</f>
        <v>김현우</v>
      </c>
      <c r="D705" s="2" t="str">
        <f>"M"</f>
        <v>M</v>
      </c>
      <c r="E705" s="2" t="str">
        <f>"19980827"</f>
        <v>19980827</v>
      </c>
      <c r="F705" s="2" t="str">
        <f>"26"</f>
        <v>26</v>
      </c>
      <c r="G705" s="2" t="str">
        <f t="shared" si="151"/>
        <v>E78660</v>
      </c>
      <c r="H705" s="2" t="str">
        <f t="shared" si="152"/>
        <v>가톨릭대학교 서울성모병원</v>
      </c>
      <c r="I705" s="2" t="str">
        <f t="shared" si="150"/>
        <v>특수</v>
      </c>
    </row>
    <row r="706" spans="1:9" x14ac:dyDescent="0.3">
      <c r="A706" s="2" t="str">
        <f t="shared" si="149"/>
        <v>20241023</v>
      </c>
      <c r="B706" s="2" t="str">
        <f>"32305863"</f>
        <v>32305863</v>
      </c>
      <c r="C706" s="2" t="str">
        <f>"박희찬"</f>
        <v>박희찬</v>
      </c>
      <c r="D706" s="2" t="str">
        <f>"M"</f>
        <v>M</v>
      </c>
      <c r="E706" s="2" t="str">
        <f>"19921211"</f>
        <v>19921211</v>
      </c>
      <c r="F706" s="2" t="str">
        <f>"31"</f>
        <v>31</v>
      </c>
      <c r="G706" s="2" t="str">
        <f t="shared" si="151"/>
        <v>E78660</v>
      </c>
      <c r="H706" s="2" t="str">
        <f t="shared" si="152"/>
        <v>가톨릭대학교 서울성모병원</v>
      </c>
      <c r="I706" s="2" t="str">
        <f>"배치후"</f>
        <v>배치후</v>
      </c>
    </row>
    <row r="707" spans="1:9" x14ac:dyDescent="0.3">
      <c r="A707" s="2" t="str">
        <f t="shared" si="149"/>
        <v>20241023</v>
      </c>
      <c r="B707" s="2" t="str">
        <f>"34714531"</f>
        <v>34714531</v>
      </c>
      <c r="C707" s="2" t="str">
        <f>"홍상희"</f>
        <v>홍상희</v>
      </c>
      <c r="D707" s="2" t="str">
        <f>"F"</f>
        <v>F</v>
      </c>
      <c r="E707" s="2" t="str">
        <f>"19930110"</f>
        <v>19930110</v>
      </c>
      <c r="F707" s="2" t="str">
        <f>"31"</f>
        <v>31</v>
      </c>
      <c r="G707" s="2" t="str">
        <f t="shared" si="151"/>
        <v>E78660</v>
      </c>
      <c r="H707" s="2" t="str">
        <f t="shared" si="152"/>
        <v>가톨릭대학교 서울성모병원</v>
      </c>
      <c r="I707" s="2" t="str">
        <f>"배치후"</f>
        <v>배치후</v>
      </c>
    </row>
    <row r="708" spans="1:9" x14ac:dyDescent="0.3">
      <c r="A708" s="2" t="str">
        <f t="shared" si="149"/>
        <v>20241023</v>
      </c>
      <c r="B708" s="2" t="str">
        <f>"37362494"</f>
        <v>37362494</v>
      </c>
      <c r="C708" s="2" t="str">
        <f>"송병진"</f>
        <v>송병진</v>
      </c>
      <c r="D708" s="2" t="str">
        <f>"M"</f>
        <v>M</v>
      </c>
      <c r="E708" s="2" t="str">
        <f>"19901022"</f>
        <v>19901022</v>
      </c>
      <c r="F708" s="2" t="str">
        <f>"34"</f>
        <v>34</v>
      </c>
      <c r="G708" s="2" t="str">
        <f t="shared" si="151"/>
        <v>E78660</v>
      </c>
      <c r="H708" s="2" t="str">
        <f t="shared" si="152"/>
        <v>가톨릭대학교 서울성모병원</v>
      </c>
      <c r="I708" s="2" t="str">
        <f>"배치후"</f>
        <v>배치후</v>
      </c>
    </row>
    <row r="709" spans="1:9" x14ac:dyDescent="0.3">
      <c r="A709" s="2" t="str">
        <f t="shared" si="149"/>
        <v>20241023</v>
      </c>
      <c r="B709" s="2" t="str">
        <f>"39758904"</f>
        <v>39758904</v>
      </c>
      <c r="C709" s="2" t="str">
        <f>"오주연"</f>
        <v>오주연</v>
      </c>
      <c r="D709" s="2" t="str">
        <f t="shared" ref="D709:D718" si="153">"F"</f>
        <v>F</v>
      </c>
      <c r="E709" s="2" t="str">
        <f>"19980517"</f>
        <v>19980517</v>
      </c>
      <c r="F709" s="2" t="str">
        <f>"26"</f>
        <v>26</v>
      </c>
      <c r="G709" s="2" t="str">
        <f t="shared" si="151"/>
        <v>E78660</v>
      </c>
      <c r="H709" s="2" t="str">
        <f t="shared" si="152"/>
        <v>가톨릭대학교 서울성모병원</v>
      </c>
      <c r="I709" s="2" t="str">
        <f>"배치전"</f>
        <v>배치전</v>
      </c>
    </row>
    <row r="710" spans="1:9" x14ac:dyDescent="0.3">
      <c r="A710" s="2" t="str">
        <f t="shared" si="149"/>
        <v>20241023</v>
      </c>
      <c r="B710" s="2" t="str">
        <f>"39775351"</f>
        <v>39775351</v>
      </c>
      <c r="C710" s="2" t="str">
        <f>"강윤아"</f>
        <v>강윤아</v>
      </c>
      <c r="D710" s="2" t="str">
        <f t="shared" si="153"/>
        <v>F</v>
      </c>
      <c r="E710" s="2" t="str">
        <f>"19950315"</f>
        <v>19950315</v>
      </c>
      <c r="F710" s="2" t="str">
        <f>"29"</f>
        <v>29</v>
      </c>
      <c r="G710" s="2" t="str">
        <f t="shared" si="151"/>
        <v>E78660</v>
      </c>
      <c r="H710" s="2" t="str">
        <f t="shared" si="152"/>
        <v>가톨릭대학교 서울성모병원</v>
      </c>
      <c r="I710" s="2" t="str">
        <f>"배치후"</f>
        <v>배치후</v>
      </c>
    </row>
    <row r="711" spans="1:9" x14ac:dyDescent="0.3">
      <c r="A711" s="2" t="str">
        <f t="shared" si="149"/>
        <v>20241023</v>
      </c>
      <c r="B711" s="2" t="str">
        <f>"39775360"</f>
        <v>39775360</v>
      </c>
      <c r="C711" s="2" t="str">
        <f>"최은아"</f>
        <v>최은아</v>
      </c>
      <c r="D711" s="2" t="str">
        <f t="shared" si="153"/>
        <v>F</v>
      </c>
      <c r="E711" s="2" t="str">
        <f>"19960821"</f>
        <v>19960821</v>
      </c>
      <c r="F711" s="2" t="str">
        <f>"28"</f>
        <v>28</v>
      </c>
      <c r="G711" s="2" t="str">
        <f t="shared" si="151"/>
        <v>E78660</v>
      </c>
      <c r="H711" s="2" t="str">
        <f t="shared" si="152"/>
        <v>가톨릭대학교 서울성모병원</v>
      </c>
      <c r="I711" s="2" t="str">
        <f>"배치후"</f>
        <v>배치후</v>
      </c>
    </row>
    <row r="712" spans="1:9" x14ac:dyDescent="0.3">
      <c r="A712" s="2" t="str">
        <f t="shared" si="149"/>
        <v>20241023</v>
      </c>
      <c r="B712" s="2" t="str">
        <f>"40305320"</f>
        <v>40305320</v>
      </c>
      <c r="C712" s="2" t="str">
        <f>"최윤서"</f>
        <v>최윤서</v>
      </c>
      <c r="D712" s="2" t="str">
        <f t="shared" si="153"/>
        <v>F</v>
      </c>
      <c r="E712" s="2" t="str">
        <f>"19960515"</f>
        <v>19960515</v>
      </c>
      <c r="F712" s="2" t="str">
        <f>"28"</f>
        <v>28</v>
      </c>
      <c r="G712" s="2" t="str">
        <f t="shared" si="151"/>
        <v>E78660</v>
      </c>
      <c r="H712" s="2" t="str">
        <f t="shared" si="152"/>
        <v>가톨릭대학교 서울성모병원</v>
      </c>
      <c r="I712" s="2" t="str">
        <f>"배치전"</f>
        <v>배치전</v>
      </c>
    </row>
    <row r="713" spans="1:9" x14ac:dyDescent="0.3">
      <c r="A713" s="2" t="str">
        <f t="shared" si="149"/>
        <v>20241023</v>
      </c>
      <c r="B713" s="2" t="str">
        <f>"7413218"</f>
        <v>7413218</v>
      </c>
      <c r="C713" s="2" t="str">
        <f>"조정자"</f>
        <v>조정자</v>
      </c>
      <c r="D713" s="2" t="str">
        <f t="shared" si="153"/>
        <v>F</v>
      </c>
      <c r="E713" s="2" t="str">
        <f>"19721025"</f>
        <v>19721025</v>
      </c>
      <c r="F713" s="2" t="str">
        <f>"52"</f>
        <v>52</v>
      </c>
      <c r="G713" s="2" t="str">
        <f t="shared" si="151"/>
        <v>E78660</v>
      </c>
      <c r="H713" s="2" t="str">
        <f t="shared" si="152"/>
        <v>가톨릭대학교 서울성모병원</v>
      </c>
      <c r="I713" s="2" t="str">
        <f t="shared" ref="I713:I738" si="154">"특수"</f>
        <v>특수</v>
      </c>
    </row>
    <row r="714" spans="1:9" x14ac:dyDescent="0.3">
      <c r="A714" s="2" t="str">
        <f t="shared" si="149"/>
        <v>20241023</v>
      </c>
      <c r="B714" s="2" t="str">
        <f>"9923364"</f>
        <v>9923364</v>
      </c>
      <c r="C714" s="2" t="str">
        <f>"고은경"</f>
        <v>고은경</v>
      </c>
      <c r="D714" s="2" t="str">
        <f t="shared" si="153"/>
        <v>F</v>
      </c>
      <c r="E714" s="2" t="str">
        <f>"19770401"</f>
        <v>19770401</v>
      </c>
      <c r="F714" s="2" t="str">
        <f>"47"</f>
        <v>47</v>
      </c>
      <c r="G714" s="2" t="str">
        <f t="shared" si="151"/>
        <v>E78660</v>
      </c>
      <c r="H714" s="2" t="str">
        <f t="shared" si="152"/>
        <v>가톨릭대학교 서울성모병원</v>
      </c>
      <c r="I714" s="2" t="str">
        <f t="shared" si="154"/>
        <v>특수</v>
      </c>
    </row>
    <row r="715" spans="1:9" x14ac:dyDescent="0.3">
      <c r="A715" s="2" t="str">
        <f t="shared" ref="A715:A723" si="155">"20241024"</f>
        <v>20241024</v>
      </c>
      <c r="B715" s="2" t="str">
        <f>"14121080"</f>
        <v>14121080</v>
      </c>
      <c r="C715" s="2" t="str">
        <f>"박수연"</f>
        <v>박수연</v>
      </c>
      <c r="D715" s="2" t="str">
        <f t="shared" si="153"/>
        <v>F</v>
      </c>
      <c r="E715" s="2" t="str">
        <f>"19831208"</f>
        <v>19831208</v>
      </c>
      <c r="F715" s="2" t="str">
        <f>"40"</f>
        <v>40</v>
      </c>
      <c r="G715" s="2" t="str">
        <f t="shared" si="151"/>
        <v>E78660</v>
      </c>
      <c r="H715" s="2" t="str">
        <f t="shared" si="152"/>
        <v>가톨릭대학교 서울성모병원</v>
      </c>
      <c r="I715" s="2" t="str">
        <f t="shared" si="154"/>
        <v>특수</v>
      </c>
    </row>
    <row r="716" spans="1:9" x14ac:dyDescent="0.3">
      <c r="A716" s="2" t="str">
        <f t="shared" si="155"/>
        <v>20241024</v>
      </c>
      <c r="B716" s="2" t="str">
        <f>"19795642"</f>
        <v>19795642</v>
      </c>
      <c r="C716" s="2" t="str">
        <f>"박선정"</f>
        <v>박선정</v>
      </c>
      <c r="D716" s="2" t="str">
        <f t="shared" si="153"/>
        <v>F</v>
      </c>
      <c r="E716" s="2" t="str">
        <f>"19860901"</f>
        <v>19860901</v>
      </c>
      <c r="F716" s="2" t="str">
        <f>"38"</f>
        <v>38</v>
      </c>
      <c r="G716" s="2" t="str">
        <f t="shared" si="151"/>
        <v>E78660</v>
      </c>
      <c r="H716" s="2" t="str">
        <f t="shared" si="152"/>
        <v>가톨릭대학교 서울성모병원</v>
      </c>
      <c r="I716" s="2" t="str">
        <f t="shared" si="154"/>
        <v>특수</v>
      </c>
    </row>
    <row r="717" spans="1:9" x14ac:dyDescent="0.3">
      <c r="A717" s="2" t="str">
        <f t="shared" si="155"/>
        <v>20241024</v>
      </c>
      <c r="B717" s="2" t="str">
        <f>"26277404"</f>
        <v>26277404</v>
      </c>
      <c r="C717" s="2" t="str">
        <f>"안성연"</f>
        <v>안성연</v>
      </c>
      <c r="D717" s="2" t="str">
        <f t="shared" si="153"/>
        <v>F</v>
      </c>
      <c r="E717" s="2" t="str">
        <f>"19940824"</f>
        <v>19940824</v>
      </c>
      <c r="F717" s="2" t="str">
        <f>"30"</f>
        <v>30</v>
      </c>
      <c r="G717" s="2" t="str">
        <f t="shared" si="151"/>
        <v>E78660</v>
      </c>
      <c r="H717" s="2" t="str">
        <f t="shared" si="152"/>
        <v>가톨릭대학교 서울성모병원</v>
      </c>
      <c r="I717" s="2" t="str">
        <f t="shared" si="154"/>
        <v>특수</v>
      </c>
    </row>
    <row r="718" spans="1:9" x14ac:dyDescent="0.3">
      <c r="A718" s="2" t="str">
        <f t="shared" si="155"/>
        <v>20241024</v>
      </c>
      <c r="B718" s="2" t="str">
        <f>"33465781"</f>
        <v>33465781</v>
      </c>
      <c r="C718" s="2" t="str">
        <f>"이유진"</f>
        <v>이유진</v>
      </c>
      <c r="D718" s="2" t="str">
        <f t="shared" si="153"/>
        <v>F</v>
      </c>
      <c r="E718" s="2" t="str">
        <f>"19960318"</f>
        <v>19960318</v>
      </c>
      <c r="F718" s="2" t="str">
        <f>"28"</f>
        <v>28</v>
      </c>
      <c r="G718" s="2" t="str">
        <f t="shared" si="151"/>
        <v>E78660</v>
      </c>
      <c r="H718" s="2" t="str">
        <f t="shared" si="152"/>
        <v>가톨릭대학교 서울성모병원</v>
      </c>
      <c r="I718" s="2" t="str">
        <f t="shared" si="154"/>
        <v>특수</v>
      </c>
    </row>
    <row r="719" spans="1:9" x14ac:dyDescent="0.3">
      <c r="A719" s="2" t="str">
        <f t="shared" si="155"/>
        <v>20241024</v>
      </c>
      <c r="B719" s="2" t="str">
        <f>"35717453"</f>
        <v>35717453</v>
      </c>
      <c r="C719" s="2" t="str">
        <f>"정민석"</f>
        <v>정민석</v>
      </c>
      <c r="D719" s="2" t="str">
        <f>"M"</f>
        <v>M</v>
      </c>
      <c r="E719" s="2" t="str">
        <f>"19951203"</f>
        <v>19951203</v>
      </c>
      <c r="F719" s="2" t="str">
        <f>"28"</f>
        <v>28</v>
      </c>
      <c r="G719" s="2" t="str">
        <f t="shared" si="151"/>
        <v>E78660</v>
      </c>
      <c r="H719" s="2" t="str">
        <f t="shared" si="152"/>
        <v>가톨릭대학교 서울성모병원</v>
      </c>
      <c r="I719" s="2" t="str">
        <f t="shared" si="154"/>
        <v>특수</v>
      </c>
    </row>
    <row r="720" spans="1:9" x14ac:dyDescent="0.3">
      <c r="A720" s="2" t="str">
        <f t="shared" si="155"/>
        <v>20241024</v>
      </c>
      <c r="B720" s="2" t="str">
        <f>"37588556"</f>
        <v>37588556</v>
      </c>
      <c r="C720" s="2" t="str">
        <f>"이지현"</f>
        <v>이지현</v>
      </c>
      <c r="D720" s="2" t="str">
        <f>"F"</f>
        <v>F</v>
      </c>
      <c r="E720" s="2" t="str">
        <f>"19950524"</f>
        <v>19950524</v>
      </c>
      <c r="F720" s="2" t="str">
        <f>"29"</f>
        <v>29</v>
      </c>
      <c r="G720" s="2" t="str">
        <f t="shared" si="151"/>
        <v>E78660</v>
      </c>
      <c r="H720" s="2" t="str">
        <f t="shared" si="152"/>
        <v>가톨릭대학교 서울성모병원</v>
      </c>
      <c r="I720" s="2" t="str">
        <f t="shared" si="154"/>
        <v>특수</v>
      </c>
    </row>
    <row r="721" spans="1:9" x14ac:dyDescent="0.3">
      <c r="A721" s="2" t="str">
        <f t="shared" si="155"/>
        <v>20241024</v>
      </c>
      <c r="B721" s="2" t="str">
        <f>"37831021"</f>
        <v>37831021</v>
      </c>
      <c r="C721" s="2" t="str">
        <f>"권연주"</f>
        <v>권연주</v>
      </c>
      <c r="D721" s="2" t="str">
        <f>"F"</f>
        <v>F</v>
      </c>
      <c r="E721" s="2" t="str">
        <f>"19960909"</f>
        <v>19960909</v>
      </c>
      <c r="F721" s="2" t="str">
        <f>"28"</f>
        <v>28</v>
      </c>
      <c r="G721" s="2" t="str">
        <f t="shared" si="151"/>
        <v>E78660</v>
      </c>
      <c r="H721" s="2" t="str">
        <f t="shared" si="152"/>
        <v>가톨릭대학교 서울성모병원</v>
      </c>
      <c r="I721" s="2" t="str">
        <f t="shared" si="154"/>
        <v>특수</v>
      </c>
    </row>
    <row r="722" spans="1:9" x14ac:dyDescent="0.3">
      <c r="A722" s="2" t="str">
        <f t="shared" si="155"/>
        <v>20241024</v>
      </c>
      <c r="B722" s="2" t="str">
        <f>"38512592"</f>
        <v>38512592</v>
      </c>
      <c r="C722" s="2" t="str">
        <f>"송승미"</f>
        <v>송승미</v>
      </c>
      <c r="D722" s="2" t="str">
        <f>"F"</f>
        <v>F</v>
      </c>
      <c r="E722" s="2" t="str">
        <f>"20000423"</f>
        <v>20000423</v>
      </c>
      <c r="F722" s="2" t="str">
        <f>"24"</f>
        <v>24</v>
      </c>
      <c r="G722" s="2" t="str">
        <f t="shared" si="151"/>
        <v>E78660</v>
      </c>
      <c r="H722" s="2" t="str">
        <f t="shared" si="152"/>
        <v>가톨릭대학교 서울성모병원</v>
      </c>
      <c r="I722" s="2" t="str">
        <f t="shared" si="154"/>
        <v>특수</v>
      </c>
    </row>
    <row r="723" spans="1:9" x14ac:dyDescent="0.3">
      <c r="A723" s="2" t="str">
        <f t="shared" si="155"/>
        <v>20241024</v>
      </c>
      <c r="B723" s="2" t="str">
        <f>"6625930"</f>
        <v>6625930</v>
      </c>
      <c r="C723" s="2" t="str">
        <f>"박종득"</f>
        <v>박종득</v>
      </c>
      <c r="D723" s="2" t="str">
        <f>"M"</f>
        <v>M</v>
      </c>
      <c r="E723" s="2" t="str">
        <f>"19650115"</f>
        <v>19650115</v>
      </c>
      <c r="F723" s="2" t="str">
        <f>"59"</f>
        <v>59</v>
      </c>
      <c r="G723" s="2" t="str">
        <f t="shared" si="151"/>
        <v>E78660</v>
      </c>
      <c r="H723" s="2" t="str">
        <f t="shared" si="152"/>
        <v>가톨릭대학교 서울성모병원</v>
      </c>
      <c r="I723" s="2" t="str">
        <f t="shared" si="154"/>
        <v>특수</v>
      </c>
    </row>
    <row r="724" spans="1:9" x14ac:dyDescent="0.3">
      <c r="A724" s="2" t="str">
        <f t="shared" ref="A724:A739" si="156">"20241028"</f>
        <v>20241028</v>
      </c>
      <c r="B724" s="2" t="str">
        <f>"19817605"</f>
        <v>19817605</v>
      </c>
      <c r="C724" s="2" t="str">
        <f>"이수경"</f>
        <v>이수경</v>
      </c>
      <c r="D724" s="2" t="str">
        <f>"F"</f>
        <v>F</v>
      </c>
      <c r="E724" s="2" t="str">
        <f>"19841109"</f>
        <v>19841109</v>
      </c>
      <c r="F724" s="2" t="str">
        <f>"39"</f>
        <v>39</v>
      </c>
      <c r="G724" s="2" t="str">
        <f t="shared" si="151"/>
        <v>E78660</v>
      </c>
      <c r="H724" s="2" t="str">
        <f t="shared" si="152"/>
        <v>가톨릭대학교 서울성모병원</v>
      </c>
      <c r="I724" s="2" t="str">
        <f t="shared" si="154"/>
        <v>특수</v>
      </c>
    </row>
    <row r="725" spans="1:9" x14ac:dyDescent="0.3">
      <c r="A725" s="2" t="str">
        <f t="shared" si="156"/>
        <v>20241028</v>
      </c>
      <c r="B725" s="2" t="str">
        <f>"20534456"</f>
        <v>20534456</v>
      </c>
      <c r="C725" s="2" t="str">
        <f>"김정희"</f>
        <v>김정희</v>
      </c>
      <c r="D725" s="2" t="str">
        <f>"F"</f>
        <v>F</v>
      </c>
      <c r="E725" s="2" t="str">
        <f>"19820424"</f>
        <v>19820424</v>
      </c>
      <c r="F725" s="2" t="str">
        <f>"42"</f>
        <v>42</v>
      </c>
      <c r="G725" s="2" t="str">
        <f t="shared" si="151"/>
        <v>E78660</v>
      </c>
      <c r="H725" s="2" t="str">
        <f t="shared" si="152"/>
        <v>가톨릭대학교 서울성모병원</v>
      </c>
      <c r="I725" s="2" t="str">
        <f t="shared" si="154"/>
        <v>특수</v>
      </c>
    </row>
    <row r="726" spans="1:9" x14ac:dyDescent="0.3">
      <c r="A726" s="2" t="str">
        <f t="shared" si="156"/>
        <v>20241028</v>
      </c>
      <c r="B726" s="2" t="str">
        <f>"27397222"</f>
        <v>27397222</v>
      </c>
      <c r="C726" s="2" t="str">
        <f>"최나영"</f>
        <v>최나영</v>
      </c>
      <c r="D726" s="2" t="str">
        <f>"F"</f>
        <v>F</v>
      </c>
      <c r="E726" s="2" t="str">
        <f>"19951211"</f>
        <v>19951211</v>
      </c>
      <c r="F726" s="2" t="str">
        <f>"28"</f>
        <v>28</v>
      </c>
      <c r="G726" s="2" t="str">
        <f t="shared" si="151"/>
        <v>E78660</v>
      </c>
      <c r="H726" s="2" t="str">
        <f t="shared" si="152"/>
        <v>가톨릭대학교 서울성모병원</v>
      </c>
      <c r="I726" s="2" t="str">
        <f t="shared" si="154"/>
        <v>특수</v>
      </c>
    </row>
    <row r="727" spans="1:9" x14ac:dyDescent="0.3">
      <c r="A727" s="2" t="str">
        <f t="shared" si="156"/>
        <v>20241028</v>
      </c>
      <c r="B727" s="2" t="str">
        <f>"28883234"</f>
        <v>28883234</v>
      </c>
      <c r="C727" s="2" t="str">
        <f>"강정상"</f>
        <v>강정상</v>
      </c>
      <c r="D727" s="2" t="str">
        <f>"M"</f>
        <v>M</v>
      </c>
      <c r="E727" s="2" t="str">
        <f>"19721108"</f>
        <v>19721108</v>
      </c>
      <c r="F727" s="2" t="str">
        <f>"52"</f>
        <v>52</v>
      </c>
      <c r="G727" s="2" t="str">
        <f>"E80600"</f>
        <v>E80600</v>
      </c>
      <c r="H727" s="2" t="str">
        <f>"베올리아산업개발코리아 주식회사"</f>
        <v>베올리아산업개발코리아 주식회사</v>
      </c>
      <c r="I727" s="2" t="str">
        <f t="shared" si="154"/>
        <v>특수</v>
      </c>
    </row>
    <row r="728" spans="1:9" x14ac:dyDescent="0.3">
      <c r="A728" s="2" t="str">
        <f t="shared" si="156"/>
        <v>20241028</v>
      </c>
      <c r="B728" s="2" t="str">
        <f>"30748783"</f>
        <v>30748783</v>
      </c>
      <c r="C728" s="2" t="str">
        <f>"전재현"</f>
        <v>전재현</v>
      </c>
      <c r="D728" s="2" t="str">
        <f>"M"</f>
        <v>M</v>
      </c>
      <c r="E728" s="2" t="str">
        <f>"19871208"</f>
        <v>19871208</v>
      </c>
      <c r="F728" s="2" t="str">
        <f>"36"</f>
        <v>36</v>
      </c>
      <c r="G728" s="2" t="str">
        <f>"E80600"</f>
        <v>E80600</v>
      </c>
      <c r="H728" s="2" t="str">
        <f>"베올리아산업개발코리아 주식회사"</f>
        <v>베올리아산업개발코리아 주식회사</v>
      </c>
      <c r="I728" s="2" t="str">
        <f t="shared" si="154"/>
        <v>특수</v>
      </c>
    </row>
    <row r="729" spans="1:9" x14ac:dyDescent="0.3">
      <c r="A729" s="2" t="str">
        <f t="shared" si="156"/>
        <v>20241028</v>
      </c>
      <c r="B729" s="2" t="str">
        <f>"33720552"</f>
        <v>33720552</v>
      </c>
      <c r="C729" s="2" t="str">
        <f>"고근화"</f>
        <v>고근화</v>
      </c>
      <c r="D729" s="2" t="str">
        <f>"M"</f>
        <v>M</v>
      </c>
      <c r="E729" s="2" t="str">
        <f>"19640103"</f>
        <v>19640103</v>
      </c>
      <c r="F729" s="2" t="str">
        <f>"60"</f>
        <v>60</v>
      </c>
      <c r="G729" s="2" t="str">
        <f>"E80600"</f>
        <v>E80600</v>
      </c>
      <c r="H729" s="2" t="str">
        <f>"베올리아산업개발코리아 주식회사"</f>
        <v>베올리아산업개발코리아 주식회사</v>
      </c>
      <c r="I729" s="2" t="str">
        <f t="shared" si="154"/>
        <v>특수</v>
      </c>
    </row>
    <row r="730" spans="1:9" x14ac:dyDescent="0.3">
      <c r="A730" s="2" t="str">
        <f t="shared" si="156"/>
        <v>20241028</v>
      </c>
      <c r="B730" s="2" t="str">
        <f>"34009571"</f>
        <v>34009571</v>
      </c>
      <c r="C730" s="2" t="str">
        <f>"홍석호"</f>
        <v>홍석호</v>
      </c>
      <c r="D730" s="2" t="str">
        <f>"M"</f>
        <v>M</v>
      </c>
      <c r="E730" s="2" t="str">
        <f>"19940428"</f>
        <v>19940428</v>
      </c>
      <c r="F730" s="2" t="str">
        <f>"30"</f>
        <v>30</v>
      </c>
      <c r="G730" s="2" t="str">
        <f>"E78660"</f>
        <v>E78660</v>
      </c>
      <c r="H730" s="2" t="str">
        <f>"가톨릭대학교 서울성모병원"</f>
        <v>가톨릭대학교 서울성모병원</v>
      </c>
      <c r="I730" s="2" t="str">
        <f t="shared" si="154"/>
        <v>특수</v>
      </c>
    </row>
    <row r="731" spans="1:9" x14ac:dyDescent="0.3">
      <c r="A731" s="2" t="str">
        <f t="shared" si="156"/>
        <v>20241028</v>
      </c>
      <c r="B731" s="2" t="str">
        <f>"34209322"</f>
        <v>34209322</v>
      </c>
      <c r="C731" s="2" t="str">
        <f>"고은빛"</f>
        <v>고은빛</v>
      </c>
      <c r="D731" s="2" t="str">
        <f>"F"</f>
        <v>F</v>
      </c>
      <c r="E731" s="2" t="str">
        <f>"19961112"</f>
        <v>19961112</v>
      </c>
      <c r="F731" s="2" t="str">
        <f>"27"</f>
        <v>27</v>
      </c>
      <c r="G731" s="2" t="str">
        <f>"E78660"</f>
        <v>E78660</v>
      </c>
      <c r="H731" s="2" t="str">
        <f>"가톨릭대학교 서울성모병원"</f>
        <v>가톨릭대학교 서울성모병원</v>
      </c>
      <c r="I731" s="2" t="str">
        <f t="shared" si="154"/>
        <v>특수</v>
      </c>
    </row>
    <row r="732" spans="1:9" x14ac:dyDescent="0.3">
      <c r="A732" s="2" t="str">
        <f t="shared" si="156"/>
        <v>20241028</v>
      </c>
      <c r="B732" s="2" t="str">
        <f>"34272716"</f>
        <v>34272716</v>
      </c>
      <c r="C732" s="2" t="str">
        <f>"김기정"</f>
        <v>김기정</v>
      </c>
      <c r="D732" s="2" t="str">
        <f>"M"</f>
        <v>M</v>
      </c>
      <c r="E732" s="2" t="str">
        <f>"19730525"</f>
        <v>19730525</v>
      </c>
      <c r="F732" s="2" t="str">
        <f>"51"</f>
        <v>51</v>
      </c>
      <c r="G732" s="2" t="str">
        <f>"E80600"</f>
        <v>E80600</v>
      </c>
      <c r="H732" s="2" t="str">
        <f>"베올리아산업개발코리아 주식회사"</f>
        <v>베올리아산업개발코리아 주식회사</v>
      </c>
      <c r="I732" s="2" t="str">
        <f t="shared" si="154"/>
        <v>특수</v>
      </c>
    </row>
    <row r="733" spans="1:9" x14ac:dyDescent="0.3">
      <c r="A733" s="2" t="str">
        <f t="shared" si="156"/>
        <v>20241028</v>
      </c>
      <c r="B733" s="2" t="str">
        <f>"34588854"</f>
        <v>34588854</v>
      </c>
      <c r="C733" s="2" t="str">
        <f>"최유진"</f>
        <v>최유진</v>
      </c>
      <c r="D733" s="2" t="str">
        <f>"F"</f>
        <v>F</v>
      </c>
      <c r="E733" s="2" t="str">
        <f>"19970817"</f>
        <v>19970817</v>
      </c>
      <c r="F733" s="2" t="str">
        <f>"27"</f>
        <v>27</v>
      </c>
      <c r="G733" s="2" t="str">
        <f>"E78660"</f>
        <v>E78660</v>
      </c>
      <c r="H733" s="2" t="str">
        <f>"가톨릭대학교 서울성모병원"</f>
        <v>가톨릭대학교 서울성모병원</v>
      </c>
      <c r="I733" s="2" t="str">
        <f t="shared" si="154"/>
        <v>특수</v>
      </c>
    </row>
    <row r="734" spans="1:9" x14ac:dyDescent="0.3">
      <c r="A734" s="2" t="str">
        <f t="shared" si="156"/>
        <v>20241028</v>
      </c>
      <c r="B734" s="2" t="str">
        <f>"35383992"</f>
        <v>35383992</v>
      </c>
      <c r="C734" s="2" t="str">
        <f>"김대웅"</f>
        <v>김대웅</v>
      </c>
      <c r="D734" s="2" t="str">
        <f>"M"</f>
        <v>M</v>
      </c>
      <c r="E734" s="2" t="str">
        <f>"19940605"</f>
        <v>19940605</v>
      </c>
      <c r="F734" s="2" t="str">
        <f>"30"</f>
        <v>30</v>
      </c>
      <c r="G734" s="2" t="str">
        <f>"E78660"</f>
        <v>E78660</v>
      </c>
      <c r="H734" s="2" t="str">
        <f>"가톨릭대학교 서울성모병원"</f>
        <v>가톨릭대학교 서울성모병원</v>
      </c>
      <c r="I734" s="2" t="str">
        <f t="shared" si="154"/>
        <v>특수</v>
      </c>
    </row>
    <row r="735" spans="1:9" x14ac:dyDescent="0.3">
      <c r="A735" s="2" t="str">
        <f t="shared" si="156"/>
        <v>20241028</v>
      </c>
      <c r="B735" s="2" t="str">
        <f>"36152292"</f>
        <v>36152292</v>
      </c>
      <c r="C735" s="2" t="str">
        <f>"조규희"</f>
        <v>조규희</v>
      </c>
      <c r="D735" s="2" t="str">
        <f>"F"</f>
        <v>F</v>
      </c>
      <c r="E735" s="2" t="str">
        <f>"19980129"</f>
        <v>19980129</v>
      </c>
      <c r="F735" s="2" t="str">
        <f>"26"</f>
        <v>26</v>
      </c>
      <c r="G735" s="2" t="str">
        <f>"E78660"</f>
        <v>E78660</v>
      </c>
      <c r="H735" s="2" t="str">
        <f>"가톨릭대학교 서울성모병원"</f>
        <v>가톨릭대학교 서울성모병원</v>
      </c>
      <c r="I735" s="2" t="str">
        <f t="shared" si="154"/>
        <v>특수</v>
      </c>
    </row>
    <row r="736" spans="1:9" x14ac:dyDescent="0.3">
      <c r="A736" s="2" t="str">
        <f t="shared" si="156"/>
        <v>20241028</v>
      </c>
      <c r="B736" s="2" t="str">
        <f>"36645970"</f>
        <v>36645970</v>
      </c>
      <c r="C736" s="2" t="str">
        <f>"이인정"</f>
        <v>이인정</v>
      </c>
      <c r="D736" s="2" t="str">
        <f>"F"</f>
        <v>F</v>
      </c>
      <c r="E736" s="2" t="str">
        <f>"19970729"</f>
        <v>19970729</v>
      </c>
      <c r="F736" s="2" t="str">
        <f>"27"</f>
        <v>27</v>
      </c>
      <c r="G736" s="2" t="str">
        <f>"E78660"</f>
        <v>E78660</v>
      </c>
      <c r="H736" s="2" t="str">
        <f>"가톨릭대학교 서울성모병원"</f>
        <v>가톨릭대학교 서울성모병원</v>
      </c>
      <c r="I736" s="2" t="str">
        <f t="shared" si="154"/>
        <v>특수</v>
      </c>
    </row>
    <row r="737" spans="1:9" x14ac:dyDescent="0.3">
      <c r="A737" s="2" t="str">
        <f t="shared" si="156"/>
        <v>20241028</v>
      </c>
      <c r="B737" s="2" t="str">
        <f>"38425303"</f>
        <v>38425303</v>
      </c>
      <c r="C737" s="2" t="str">
        <f>"전고은"</f>
        <v>전고은</v>
      </c>
      <c r="D737" s="2" t="str">
        <f>"F"</f>
        <v>F</v>
      </c>
      <c r="E737" s="2" t="str">
        <f>"20001020"</f>
        <v>20001020</v>
      </c>
      <c r="F737" s="2" t="str">
        <f>"24"</f>
        <v>24</v>
      </c>
      <c r="G737" s="2" t="str">
        <f>"E78660"</f>
        <v>E78660</v>
      </c>
      <c r="H737" s="2" t="str">
        <f>"가톨릭대학교 서울성모병원"</f>
        <v>가톨릭대학교 서울성모병원</v>
      </c>
      <c r="I737" s="2" t="str">
        <f t="shared" si="154"/>
        <v>특수</v>
      </c>
    </row>
    <row r="738" spans="1:9" x14ac:dyDescent="0.3">
      <c r="A738" s="2" t="str">
        <f t="shared" si="156"/>
        <v>20241028</v>
      </c>
      <c r="B738" s="2" t="str">
        <f>"39552650"</f>
        <v>39552650</v>
      </c>
      <c r="C738" s="2" t="str">
        <f>"홍재엽"</f>
        <v>홍재엽</v>
      </c>
      <c r="D738" s="2" t="str">
        <f>"M"</f>
        <v>M</v>
      </c>
      <c r="E738" s="2" t="str">
        <f>"19750206"</f>
        <v>19750206</v>
      </c>
      <c r="F738" s="2" t="str">
        <f>"49"</f>
        <v>49</v>
      </c>
      <c r="G738" s="2" t="str">
        <f>"E80600"</f>
        <v>E80600</v>
      </c>
      <c r="H738" s="2" t="str">
        <f>"베올리아산업개발코리아 주식회사"</f>
        <v>베올리아산업개발코리아 주식회사</v>
      </c>
      <c r="I738" s="2" t="str">
        <f t="shared" si="154"/>
        <v>특수</v>
      </c>
    </row>
    <row r="739" spans="1:9" x14ac:dyDescent="0.3">
      <c r="A739" s="2" t="str">
        <f t="shared" si="156"/>
        <v>20241028</v>
      </c>
      <c r="B739" s="2" t="str">
        <f>"39713831"</f>
        <v>39713831</v>
      </c>
      <c r="C739" s="2" t="str">
        <f>"주혜성"</f>
        <v>주혜성</v>
      </c>
      <c r="D739" s="2" t="str">
        <f>"M"</f>
        <v>M</v>
      </c>
      <c r="E739" s="2" t="str">
        <f>"19950718"</f>
        <v>19950718</v>
      </c>
      <c r="F739" s="2" t="str">
        <f>"29"</f>
        <v>29</v>
      </c>
      <c r="G739" s="2" t="str">
        <f t="shared" ref="G739:G761" si="157">"E78660"</f>
        <v>E78660</v>
      </c>
      <c r="H739" s="2" t="str">
        <f t="shared" ref="H739:H761" si="158">"가톨릭대학교 서울성모병원"</f>
        <v>가톨릭대학교 서울성모병원</v>
      </c>
      <c r="I739" s="2" t="str">
        <f>"배치후"</f>
        <v>배치후</v>
      </c>
    </row>
    <row r="740" spans="1:9" x14ac:dyDescent="0.3">
      <c r="A740" s="2" t="str">
        <f t="shared" ref="A740:A750" si="159">"20241029"</f>
        <v>20241029</v>
      </c>
      <c r="B740" s="2" t="str">
        <f>"18865063"</f>
        <v>18865063</v>
      </c>
      <c r="C740" s="2" t="str">
        <f>"양지은"</f>
        <v>양지은</v>
      </c>
      <c r="D740" s="2" t="str">
        <f>"F"</f>
        <v>F</v>
      </c>
      <c r="E740" s="2" t="str">
        <f>"19850919"</f>
        <v>19850919</v>
      </c>
      <c r="F740" s="2" t="str">
        <f>"39"</f>
        <v>39</v>
      </c>
      <c r="G740" s="2" t="str">
        <f t="shared" si="157"/>
        <v>E78660</v>
      </c>
      <c r="H740" s="2" t="str">
        <f t="shared" si="158"/>
        <v>가톨릭대학교 서울성모병원</v>
      </c>
      <c r="I740" s="2" t="str">
        <f>"특수"</f>
        <v>특수</v>
      </c>
    </row>
    <row r="741" spans="1:9" x14ac:dyDescent="0.3">
      <c r="A741" s="2" t="str">
        <f t="shared" si="159"/>
        <v>20241029</v>
      </c>
      <c r="B741" s="2" t="str">
        <f>"23965833"</f>
        <v>23965833</v>
      </c>
      <c r="C741" s="2" t="str">
        <f>"허웅"</f>
        <v>허웅</v>
      </c>
      <c r="D741" s="2" t="str">
        <f>"M"</f>
        <v>M</v>
      </c>
      <c r="E741" s="2" t="str">
        <f>"19860216"</f>
        <v>19860216</v>
      </c>
      <c r="F741" s="2" t="str">
        <f>"38"</f>
        <v>38</v>
      </c>
      <c r="G741" s="2" t="str">
        <f t="shared" si="157"/>
        <v>E78660</v>
      </c>
      <c r="H741" s="2" t="str">
        <f t="shared" si="158"/>
        <v>가톨릭대학교 서울성모병원</v>
      </c>
      <c r="I741" s="2" t="str">
        <f>"특수"</f>
        <v>특수</v>
      </c>
    </row>
    <row r="742" spans="1:9" x14ac:dyDescent="0.3">
      <c r="A742" s="2" t="str">
        <f t="shared" si="159"/>
        <v>20241029</v>
      </c>
      <c r="B742" s="2" t="str">
        <f>"25088304"</f>
        <v>25088304</v>
      </c>
      <c r="C742" s="2" t="str">
        <f>"백주영"</f>
        <v>백주영</v>
      </c>
      <c r="D742" s="2" t="str">
        <f>"M"</f>
        <v>M</v>
      </c>
      <c r="E742" s="2" t="str">
        <f>"19870814"</f>
        <v>19870814</v>
      </c>
      <c r="F742" s="2" t="str">
        <f>"37"</f>
        <v>37</v>
      </c>
      <c r="G742" s="2" t="str">
        <f t="shared" si="157"/>
        <v>E78660</v>
      </c>
      <c r="H742" s="2" t="str">
        <f t="shared" si="158"/>
        <v>가톨릭대학교 서울성모병원</v>
      </c>
      <c r="I742" s="2" t="str">
        <f>"특수"</f>
        <v>특수</v>
      </c>
    </row>
    <row r="743" spans="1:9" x14ac:dyDescent="0.3">
      <c r="A743" s="2" t="str">
        <f t="shared" si="159"/>
        <v>20241029</v>
      </c>
      <c r="B743" s="2" t="str">
        <f>"25251851"</f>
        <v>25251851</v>
      </c>
      <c r="C743" s="2" t="str">
        <f>"이혜림"</f>
        <v>이혜림</v>
      </c>
      <c r="D743" s="2" t="str">
        <f>"F"</f>
        <v>F</v>
      </c>
      <c r="E743" s="2" t="str">
        <f>"19901116"</f>
        <v>19901116</v>
      </c>
      <c r="F743" s="2" t="str">
        <f>"33"</f>
        <v>33</v>
      </c>
      <c r="G743" s="2" t="str">
        <f t="shared" si="157"/>
        <v>E78660</v>
      </c>
      <c r="H743" s="2" t="str">
        <f t="shared" si="158"/>
        <v>가톨릭대학교 서울성모병원</v>
      </c>
      <c r="I743" s="2" t="str">
        <f>"배치후"</f>
        <v>배치후</v>
      </c>
    </row>
    <row r="744" spans="1:9" x14ac:dyDescent="0.3">
      <c r="A744" s="2" t="str">
        <f t="shared" si="159"/>
        <v>20241029</v>
      </c>
      <c r="B744" s="2" t="str">
        <f>"28411672"</f>
        <v>28411672</v>
      </c>
      <c r="C744" s="2" t="str">
        <f>"이정철"</f>
        <v>이정철</v>
      </c>
      <c r="D744" s="2" t="str">
        <f>"M"</f>
        <v>M</v>
      </c>
      <c r="E744" s="2" t="str">
        <f>"19890611"</f>
        <v>19890611</v>
      </c>
      <c r="F744" s="2" t="str">
        <f>"35"</f>
        <v>35</v>
      </c>
      <c r="G744" s="2" t="str">
        <f t="shared" si="157"/>
        <v>E78660</v>
      </c>
      <c r="H744" s="2" t="str">
        <f t="shared" si="158"/>
        <v>가톨릭대학교 서울성모병원</v>
      </c>
      <c r="I744" s="2" t="str">
        <f>"특수"</f>
        <v>특수</v>
      </c>
    </row>
    <row r="745" spans="1:9" x14ac:dyDescent="0.3">
      <c r="A745" s="2" t="str">
        <f t="shared" si="159"/>
        <v>20241029</v>
      </c>
      <c r="B745" s="2" t="str">
        <f>"32008303"</f>
        <v>32008303</v>
      </c>
      <c r="C745" s="2" t="str">
        <f>"박대준"</f>
        <v>박대준</v>
      </c>
      <c r="D745" s="2" t="str">
        <f>"M"</f>
        <v>M</v>
      </c>
      <c r="E745" s="2" t="str">
        <f>"19990618"</f>
        <v>19990618</v>
      </c>
      <c r="F745" s="2" t="str">
        <f>"25"</f>
        <v>25</v>
      </c>
      <c r="G745" s="2" t="str">
        <f t="shared" si="157"/>
        <v>E78660</v>
      </c>
      <c r="H745" s="2" t="str">
        <f t="shared" si="158"/>
        <v>가톨릭대학교 서울성모병원</v>
      </c>
      <c r="I745" s="2" t="str">
        <f>"배치전"</f>
        <v>배치전</v>
      </c>
    </row>
    <row r="746" spans="1:9" x14ac:dyDescent="0.3">
      <c r="A746" s="2" t="str">
        <f t="shared" si="159"/>
        <v>20241029</v>
      </c>
      <c r="B746" s="2" t="str">
        <f>"34293411"</f>
        <v>34293411</v>
      </c>
      <c r="C746" s="2" t="str">
        <f>"권오훈"</f>
        <v>권오훈</v>
      </c>
      <c r="D746" s="2" t="str">
        <f>"M"</f>
        <v>M</v>
      </c>
      <c r="E746" s="2" t="str">
        <f>"19940926"</f>
        <v>19940926</v>
      </c>
      <c r="F746" s="2" t="str">
        <f>"30"</f>
        <v>30</v>
      </c>
      <c r="G746" s="2" t="str">
        <f t="shared" si="157"/>
        <v>E78660</v>
      </c>
      <c r="H746" s="2" t="str">
        <f t="shared" si="158"/>
        <v>가톨릭대학교 서울성모병원</v>
      </c>
      <c r="I746" s="2" t="str">
        <f>"특수"</f>
        <v>특수</v>
      </c>
    </row>
    <row r="747" spans="1:9" x14ac:dyDescent="0.3">
      <c r="A747" s="2" t="str">
        <f t="shared" si="159"/>
        <v>20241029</v>
      </c>
      <c r="B747" s="2" t="str">
        <f>"35142373"</f>
        <v>35142373</v>
      </c>
      <c r="C747" s="2" t="str">
        <f>"배나연"</f>
        <v>배나연</v>
      </c>
      <c r="D747" s="2" t="str">
        <f>"F"</f>
        <v>F</v>
      </c>
      <c r="E747" s="2" t="str">
        <f>"20011118"</f>
        <v>20011118</v>
      </c>
      <c r="F747" s="2" t="str">
        <f>"22"</f>
        <v>22</v>
      </c>
      <c r="G747" s="2" t="str">
        <f t="shared" si="157"/>
        <v>E78660</v>
      </c>
      <c r="H747" s="2" t="str">
        <f t="shared" si="158"/>
        <v>가톨릭대학교 서울성모병원</v>
      </c>
      <c r="I747" s="2" t="str">
        <f>"배치전"</f>
        <v>배치전</v>
      </c>
    </row>
    <row r="748" spans="1:9" x14ac:dyDescent="0.3">
      <c r="A748" s="2" t="str">
        <f t="shared" si="159"/>
        <v>20241029</v>
      </c>
      <c r="B748" s="2" t="str">
        <f>"37543071"</f>
        <v>37543071</v>
      </c>
      <c r="C748" s="2" t="str">
        <f>"최다슬"</f>
        <v>최다슬</v>
      </c>
      <c r="D748" s="2" t="str">
        <f>"F"</f>
        <v>F</v>
      </c>
      <c r="E748" s="2" t="str">
        <f>"19950110"</f>
        <v>19950110</v>
      </c>
      <c r="F748" s="2" t="str">
        <f>"29"</f>
        <v>29</v>
      </c>
      <c r="G748" s="2" t="str">
        <f t="shared" si="157"/>
        <v>E78660</v>
      </c>
      <c r="H748" s="2" t="str">
        <f t="shared" si="158"/>
        <v>가톨릭대학교 서울성모병원</v>
      </c>
      <c r="I748" s="2" t="str">
        <f>"특수"</f>
        <v>특수</v>
      </c>
    </row>
    <row r="749" spans="1:9" x14ac:dyDescent="0.3">
      <c r="A749" s="2" t="str">
        <f t="shared" si="159"/>
        <v>20241029</v>
      </c>
      <c r="B749" s="2" t="str">
        <f>"39416926"</f>
        <v>39416926</v>
      </c>
      <c r="C749" s="2" t="str">
        <f>"소성아"</f>
        <v>소성아</v>
      </c>
      <c r="D749" s="2" t="str">
        <f>"F"</f>
        <v>F</v>
      </c>
      <c r="E749" s="2" t="str">
        <f>"20000708"</f>
        <v>20000708</v>
      </c>
      <c r="F749" s="2" t="str">
        <f>"24"</f>
        <v>24</v>
      </c>
      <c r="G749" s="2" t="str">
        <f t="shared" si="157"/>
        <v>E78660</v>
      </c>
      <c r="H749" s="2" t="str">
        <f t="shared" si="158"/>
        <v>가톨릭대학교 서울성모병원</v>
      </c>
      <c r="I749" s="2" t="str">
        <f>"배치후"</f>
        <v>배치후</v>
      </c>
    </row>
    <row r="750" spans="1:9" x14ac:dyDescent="0.3">
      <c r="A750" s="2" t="str">
        <f t="shared" si="159"/>
        <v>20241029</v>
      </c>
      <c r="B750" s="2" t="str">
        <f>"8061281"</f>
        <v>8061281</v>
      </c>
      <c r="C750" s="2" t="str">
        <f>"이경철"</f>
        <v>이경철</v>
      </c>
      <c r="D750" s="2" t="str">
        <f>"M"</f>
        <v>M</v>
      </c>
      <c r="E750" s="2" t="str">
        <f>"19670315"</f>
        <v>19670315</v>
      </c>
      <c r="F750" s="2" t="str">
        <f>"57"</f>
        <v>57</v>
      </c>
      <c r="G750" s="2" t="str">
        <f t="shared" si="157"/>
        <v>E78660</v>
      </c>
      <c r="H750" s="2" t="str">
        <f t="shared" si="158"/>
        <v>가톨릭대학교 서울성모병원</v>
      </c>
      <c r="I750" s="2" t="str">
        <f>"특수"</f>
        <v>특수</v>
      </c>
    </row>
    <row r="751" spans="1:9" x14ac:dyDescent="0.3">
      <c r="A751" s="2" t="str">
        <f t="shared" ref="A751:A761" si="160">"20241030"</f>
        <v>20241030</v>
      </c>
      <c r="B751" s="2" t="str">
        <f>"14249499"</f>
        <v>14249499</v>
      </c>
      <c r="C751" s="2" t="str">
        <f>"신정섭"</f>
        <v>신정섭</v>
      </c>
      <c r="D751" s="2" t="str">
        <f t="shared" ref="D751:D760" si="161">"F"</f>
        <v>F</v>
      </c>
      <c r="E751" s="2" t="str">
        <f>"19781222"</f>
        <v>19781222</v>
      </c>
      <c r="F751" s="2" t="str">
        <f>"45"</f>
        <v>45</v>
      </c>
      <c r="G751" s="2" t="str">
        <f t="shared" si="157"/>
        <v>E78660</v>
      </c>
      <c r="H751" s="2" t="str">
        <f t="shared" si="158"/>
        <v>가톨릭대학교 서울성모병원</v>
      </c>
      <c r="I751" s="2" t="str">
        <f>"특수"</f>
        <v>특수</v>
      </c>
    </row>
    <row r="752" spans="1:9" x14ac:dyDescent="0.3">
      <c r="A752" s="2" t="str">
        <f t="shared" si="160"/>
        <v>20241030</v>
      </c>
      <c r="B752" s="2" t="str">
        <f>"15303749"</f>
        <v>15303749</v>
      </c>
      <c r="C752" s="2" t="str">
        <f>"정원주"</f>
        <v>정원주</v>
      </c>
      <c r="D752" s="2" t="str">
        <f t="shared" si="161"/>
        <v>F</v>
      </c>
      <c r="E752" s="2" t="str">
        <f>"19830224"</f>
        <v>19830224</v>
      </c>
      <c r="F752" s="2" t="str">
        <f>"41"</f>
        <v>41</v>
      </c>
      <c r="G752" s="2" t="str">
        <f t="shared" si="157"/>
        <v>E78660</v>
      </c>
      <c r="H752" s="2" t="str">
        <f t="shared" si="158"/>
        <v>가톨릭대학교 서울성모병원</v>
      </c>
      <c r="I752" s="2" t="str">
        <f>"특수"</f>
        <v>특수</v>
      </c>
    </row>
    <row r="753" spans="1:9" x14ac:dyDescent="0.3">
      <c r="A753" s="2" t="str">
        <f t="shared" si="160"/>
        <v>20241030</v>
      </c>
      <c r="B753" s="2" t="str">
        <f>"17122288"</f>
        <v>17122288</v>
      </c>
      <c r="C753" s="2" t="str">
        <f>"황진희"</f>
        <v>황진희</v>
      </c>
      <c r="D753" s="2" t="str">
        <f t="shared" si="161"/>
        <v>F</v>
      </c>
      <c r="E753" s="2" t="str">
        <f>"19800427"</f>
        <v>19800427</v>
      </c>
      <c r="F753" s="2" t="str">
        <f>"44"</f>
        <v>44</v>
      </c>
      <c r="G753" s="2" t="str">
        <f t="shared" si="157"/>
        <v>E78660</v>
      </c>
      <c r="H753" s="2" t="str">
        <f t="shared" si="158"/>
        <v>가톨릭대학교 서울성모병원</v>
      </c>
      <c r="I753" s="2" t="str">
        <f>"특수"</f>
        <v>특수</v>
      </c>
    </row>
    <row r="754" spans="1:9" x14ac:dyDescent="0.3">
      <c r="A754" s="2" t="str">
        <f t="shared" si="160"/>
        <v>20241030</v>
      </c>
      <c r="B754" s="2" t="str">
        <f>"25313346"</f>
        <v>25313346</v>
      </c>
      <c r="C754" s="2" t="str">
        <f>"박성지"</f>
        <v>박성지</v>
      </c>
      <c r="D754" s="2" t="str">
        <f t="shared" si="161"/>
        <v>F</v>
      </c>
      <c r="E754" s="2" t="str">
        <f>"19910215"</f>
        <v>19910215</v>
      </c>
      <c r="F754" s="2" t="str">
        <f>"33"</f>
        <v>33</v>
      </c>
      <c r="G754" s="2" t="str">
        <f t="shared" si="157"/>
        <v>E78660</v>
      </c>
      <c r="H754" s="2" t="str">
        <f t="shared" si="158"/>
        <v>가톨릭대학교 서울성모병원</v>
      </c>
      <c r="I754" s="2" t="str">
        <f>"배치전"</f>
        <v>배치전</v>
      </c>
    </row>
    <row r="755" spans="1:9" x14ac:dyDescent="0.3">
      <c r="A755" s="2" t="str">
        <f t="shared" si="160"/>
        <v>20241030</v>
      </c>
      <c r="B755" s="2" t="str">
        <f>"29641971"</f>
        <v>29641971</v>
      </c>
      <c r="C755" s="2" t="str">
        <f>"백지은"</f>
        <v>백지은</v>
      </c>
      <c r="D755" s="2" t="str">
        <f t="shared" si="161"/>
        <v>F</v>
      </c>
      <c r="E755" s="2" t="str">
        <f>"19960509"</f>
        <v>19960509</v>
      </c>
      <c r="F755" s="2" t="str">
        <f>"28"</f>
        <v>28</v>
      </c>
      <c r="G755" s="2" t="str">
        <f t="shared" si="157"/>
        <v>E78660</v>
      </c>
      <c r="H755" s="2" t="str">
        <f t="shared" si="158"/>
        <v>가톨릭대학교 서울성모병원</v>
      </c>
      <c r="I755" s="2" t="str">
        <f>"특수"</f>
        <v>특수</v>
      </c>
    </row>
    <row r="756" spans="1:9" x14ac:dyDescent="0.3">
      <c r="A756" s="2" t="str">
        <f t="shared" si="160"/>
        <v>20241030</v>
      </c>
      <c r="B756" s="2" t="str">
        <f>"33732876"</f>
        <v>33732876</v>
      </c>
      <c r="C756" s="2" t="str">
        <f>"송현"</f>
        <v>송현</v>
      </c>
      <c r="D756" s="2" t="str">
        <f t="shared" si="161"/>
        <v>F</v>
      </c>
      <c r="E756" s="2" t="str">
        <f>"19911009"</f>
        <v>19911009</v>
      </c>
      <c r="F756" s="2" t="str">
        <f>"33"</f>
        <v>33</v>
      </c>
      <c r="G756" s="2" t="str">
        <f t="shared" si="157"/>
        <v>E78660</v>
      </c>
      <c r="H756" s="2" t="str">
        <f t="shared" si="158"/>
        <v>가톨릭대학교 서울성모병원</v>
      </c>
      <c r="I756" s="2" t="str">
        <f>"특수"</f>
        <v>특수</v>
      </c>
    </row>
    <row r="757" spans="1:9" x14ac:dyDescent="0.3">
      <c r="A757" s="2" t="str">
        <f t="shared" si="160"/>
        <v>20241030</v>
      </c>
      <c r="B757" s="2" t="str">
        <f>"37094690"</f>
        <v>37094690</v>
      </c>
      <c r="C757" s="2" t="str">
        <f>"천소연"</f>
        <v>천소연</v>
      </c>
      <c r="D757" s="2" t="str">
        <f t="shared" si="161"/>
        <v>F</v>
      </c>
      <c r="E757" s="2" t="str">
        <f>"19951129"</f>
        <v>19951129</v>
      </c>
      <c r="F757" s="2" t="str">
        <f>"28"</f>
        <v>28</v>
      </c>
      <c r="G757" s="2" t="str">
        <f t="shared" si="157"/>
        <v>E78660</v>
      </c>
      <c r="H757" s="2" t="str">
        <f t="shared" si="158"/>
        <v>가톨릭대학교 서울성모병원</v>
      </c>
      <c r="I757" s="2" t="str">
        <f>"특수"</f>
        <v>특수</v>
      </c>
    </row>
    <row r="758" spans="1:9" x14ac:dyDescent="0.3">
      <c r="A758" s="2" t="str">
        <f t="shared" si="160"/>
        <v>20241030</v>
      </c>
      <c r="B758" s="2" t="str">
        <f>"39508783"</f>
        <v>39508783</v>
      </c>
      <c r="C758" s="2" t="str">
        <f>"김서현"</f>
        <v>김서현</v>
      </c>
      <c r="D758" s="2" t="str">
        <f t="shared" si="161"/>
        <v>F</v>
      </c>
      <c r="E758" s="2" t="str">
        <f>"19981215"</f>
        <v>19981215</v>
      </c>
      <c r="F758" s="2" t="str">
        <f>"25"</f>
        <v>25</v>
      </c>
      <c r="G758" s="2" t="str">
        <f t="shared" si="157"/>
        <v>E78660</v>
      </c>
      <c r="H758" s="2" t="str">
        <f t="shared" si="158"/>
        <v>가톨릭대학교 서울성모병원</v>
      </c>
      <c r="I758" s="2" t="str">
        <f>"배치후"</f>
        <v>배치후</v>
      </c>
    </row>
    <row r="759" spans="1:9" x14ac:dyDescent="0.3">
      <c r="A759" s="2" t="str">
        <f t="shared" si="160"/>
        <v>20241030</v>
      </c>
      <c r="B759" s="2" t="str">
        <f>"40247521"</f>
        <v>40247521</v>
      </c>
      <c r="C759" s="2" t="str">
        <f>"김정은"</f>
        <v>김정은</v>
      </c>
      <c r="D759" s="2" t="str">
        <f t="shared" si="161"/>
        <v>F</v>
      </c>
      <c r="E759" s="2" t="str">
        <f>"20010615"</f>
        <v>20010615</v>
      </c>
      <c r="F759" s="2" t="str">
        <f>"23"</f>
        <v>23</v>
      </c>
      <c r="G759" s="2" t="str">
        <f t="shared" si="157"/>
        <v>E78660</v>
      </c>
      <c r="H759" s="2" t="str">
        <f t="shared" si="158"/>
        <v>가톨릭대학교 서울성모병원</v>
      </c>
      <c r="I759" s="2" t="str">
        <f>"배치전"</f>
        <v>배치전</v>
      </c>
    </row>
    <row r="760" spans="1:9" x14ac:dyDescent="0.3">
      <c r="A760" s="2" t="str">
        <f t="shared" si="160"/>
        <v>20241030</v>
      </c>
      <c r="B760" s="2" t="str">
        <f>"40325323"</f>
        <v>40325323</v>
      </c>
      <c r="C760" s="2" t="str">
        <f>"윤은지"</f>
        <v>윤은지</v>
      </c>
      <c r="D760" s="2" t="str">
        <f t="shared" si="161"/>
        <v>F</v>
      </c>
      <c r="E760" s="2" t="str">
        <f>"19950419"</f>
        <v>19950419</v>
      </c>
      <c r="F760" s="2" t="str">
        <f>"29"</f>
        <v>29</v>
      </c>
      <c r="G760" s="2" t="str">
        <f t="shared" si="157"/>
        <v>E78660</v>
      </c>
      <c r="H760" s="2" t="str">
        <f t="shared" si="158"/>
        <v>가톨릭대학교 서울성모병원</v>
      </c>
      <c r="I760" s="2" t="str">
        <f>"배치전"</f>
        <v>배치전</v>
      </c>
    </row>
    <row r="761" spans="1:9" x14ac:dyDescent="0.3">
      <c r="A761" s="2" t="str">
        <f t="shared" si="160"/>
        <v>20241030</v>
      </c>
      <c r="B761" s="2" t="str">
        <f>"8149685"</f>
        <v>8149685</v>
      </c>
      <c r="C761" s="2" t="str">
        <f>"석현수"</f>
        <v>석현수</v>
      </c>
      <c r="D761" s="2" t="str">
        <f t="shared" ref="D761:D768" si="162">"M"</f>
        <v>M</v>
      </c>
      <c r="E761" s="2" t="str">
        <f>"19730521"</f>
        <v>19730521</v>
      </c>
      <c r="F761" s="2" t="str">
        <f>"51"</f>
        <v>51</v>
      </c>
      <c r="G761" s="2" t="str">
        <f t="shared" si="157"/>
        <v>E78660</v>
      </c>
      <c r="H761" s="2" t="str">
        <f t="shared" si="158"/>
        <v>가톨릭대학교 서울성모병원</v>
      </c>
      <c r="I761" s="2" t="str">
        <f t="shared" ref="I761:I773" si="163">"특수"</f>
        <v>특수</v>
      </c>
    </row>
    <row r="762" spans="1:9" x14ac:dyDescent="0.3">
      <c r="A762" s="2" t="str">
        <f t="shared" ref="A762:A768" si="164">"20241104"</f>
        <v>20241104</v>
      </c>
      <c r="B762" s="2" t="str">
        <f>"35386913"</f>
        <v>35386913</v>
      </c>
      <c r="C762" s="2" t="str">
        <f>"최성광"</f>
        <v>최성광</v>
      </c>
      <c r="D762" s="2" t="str">
        <f t="shared" si="162"/>
        <v>M</v>
      </c>
      <c r="E762" s="2" t="str">
        <f>"19731115"</f>
        <v>19731115</v>
      </c>
      <c r="F762" s="2" t="str">
        <f>"51"</f>
        <v>51</v>
      </c>
      <c r="G762" s="2" t="str">
        <f t="shared" ref="G762:G768" si="165">"E80600"</f>
        <v>E80600</v>
      </c>
      <c r="H762" s="2" t="str">
        <f t="shared" ref="H762:H768" si="166">"베올리아산업개발코리아 주식회사"</f>
        <v>베올리아산업개발코리아 주식회사</v>
      </c>
      <c r="I762" s="2" t="str">
        <f t="shared" si="163"/>
        <v>특수</v>
      </c>
    </row>
    <row r="763" spans="1:9" x14ac:dyDescent="0.3">
      <c r="A763" s="2" t="str">
        <f t="shared" si="164"/>
        <v>20241104</v>
      </c>
      <c r="B763" s="2" t="str">
        <f>"3680062"</f>
        <v>3680062</v>
      </c>
      <c r="C763" s="2" t="str">
        <f>"신대경"</f>
        <v>신대경</v>
      </c>
      <c r="D763" s="2" t="str">
        <f t="shared" si="162"/>
        <v>M</v>
      </c>
      <c r="E763" s="2" t="str">
        <f>"19850811"</f>
        <v>19850811</v>
      </c>
      <c r="F763" s="2" t="str">
        <f>"39"</f>
        <v>39</v>
      </c>
      <c r="G763" s="2" t="str">
        <f t="shared" si="165"/>
        <v>E80600</v>
      </c>
      <c r="H763" s="2" t="str">
        <f t="shared" si="166"/>
        <v>베올리아산업개발코리아 주식회사</v>
      </c>
      <c r="I763" s="2" t="str">
        <f t="shared" si="163"/>
        <v>특수</v>
      </c>
    </row>
    <row r="764" spans="1:9" x14ac:dyDescent="0.3">
      <c r="A764" s="2" t="str">
        <f t="shared" si="164"/>
        <v>20241104</v>
      </c>
      <c r="B764" s="2" t="str">
        <f>"37489280"</f>
        <v>37489280</v>
      </c>
      <c r="C764" s="2" t="str">
        <f>"박성경"</f>
        <v>박성경</v>
      </c>
      <c r="D764" s="2" t="str">
        <f t="shared" si="162"/>
        <v>M</v>
      </c>
      <c r="E764" s="2" t="str">
        <f>"19700919"</f>
        <v>19700919</v>
      </c>
      <c r="F764" s="2" t="str">
        <f>"54"</f>
        <v>54</v>
      </c>
      <c r="G764" s="2" t="str">
        <f t="shared" si="165"/>
        <v>E80600</v>
      </c>
      <c r="H764" s="2" t="str">
        <f t="shared" si="166"/>
        <v>베올리아산업개발코리아 주식회사</v>
      </c>
      <c r="I764" s="2" t="str">
        <f t="shared" si="163"/>
        <v>특수</v>
      </c>
    </row>
    <row r="765" spans="1:9" x14ac:dyDescent="0.3">
      <c r="A765" s="2" t="str">
        <f t="shared" si="164"/>
        <v>20241104</v>
      </c>
      <c r="B765" s="2" t="str">
        <f>"37929452"</f>
        <v>37929452</v>
      </c>
      <c r="C765" s="2" t="str">
        <f>"김덕호"</f>
        <v>김덕호</v>
      </c>
      <c r="D765" s="2" t="str">
        <f t="shared" si="162"/>
        <v>M</v>
      </c>
      <c r="E765" s="2" t="str">
        <f>"19920924"</f>
        <v>19920924</v>
      </c>
      <c r="F765" s="2" t="str">
        <f>"32"</f>
        <v>32</v>
      </c>
      <c r="G765" s="2" t="str">
        <f t="shared" si="165"/>
        <v>E80600</v>
      </c>
      <c r="H765" s="2" t="str">
        <f t="shared" si="166"/>
        <v>베올리아산업개발코리아 주식회사</v>
      </c>
      <c r="I765" s="2" t="str">
        <f t="shared" si="163"/>
        <v>특수</v>
      </c>
    </row>
    <row r="766" spans="1:9" x14ac:dyDescent="0.3">
      <c r="A766" s="2" t="str">
        <f t="shared" si="164"/>
        <v>20241104</v>
      </c>
      <c r="B766" s="2" t="str">
        <f>"37929575"</f>
        <v>37929575</v>
      </c>
      <c r="C766" s="2" t="str">
        <f>"유재혁"</f>
        <v>유재혁</v>
      </c>
      <c r="D766" s="2" t="str">
        <f t="shared" si="162"/>
        <v>M</v>
      </c>
      <c r="E766" s="2" t="str">
        <f>"19860215"</f>
        <v>19860215</v>
      </c>
      <c r="F766" s="2" t="str">
        <f>"38"</f>
        <v>38</v>
      </c>
      <c r="G766" s="2" t="str">
        <f t="shared" si="165"/>
        <v>E80600</v>
      </c>
      <c r="H766" s="2" t="str">
        <f t="shared" si="166"/>
        <v>베올리아산업개발코리아 주식회사</v>
      </c>
      <c r="I766" s="2" t="str">
        <f t="shared" si="163"/>
        <v>특수</v>
      </c>
    </row>
    <row r="767" spans="1:9" x14ac:dyDescent="0.3">
      <c r="A767" s="2" t="str">
        <f t="shared" si="164"/>
        <v>20241104</v>
      </c>
      <c r="B767" s="2" t="str">
        <f>"39163182"</f>
        <v>39163182</v>
      </c>
      <c r="C767" s="2" t="str">
        <f>"성형진"</f>
        <v>성형진</v>
      </c>
      <c r="D767" s="2" t="str">
        <f t="shared" si="162"/>
        <v>M</v>
      </c>
      <c r="E767" s="2" t="str">
        <f>"19690808"</f>
        <v>19690808</v>
      </c>
      <c r="F767" s="2" t="str">
        <f>"55"</f>
        <v>55</v>
      </c>
      <c r="G767" s="2" t="str">
        <f t="shared" si="165"/>
        <v>E80600</v>
      </c>
      <c r="H767" s="2" t="str">
        <f t="shared" si="166"/>
        <v>베올리아산업개발코리아 주식회사</v>
      </c>
      <c r="I767" s="2" t="str">
        <f t="shared" si="163"/>
        <v>특수</v>
      </c>
    </row>
    <row r="768" spans="1:9" x14ac:dyDescent="0.3">
      <c r="A768" s="2" t="str">
        <f t="shared" si="164"/>
        <v>20241104</v>
      </c>
      <c r="B768" s="2" t="str">
        <f>"40156463"</f>
        <v>40156463</v>
      </c>
      <c r="C768" s="2" t="str">
        <f>"한계헌"</f>
        <v>한계헌</v>
      </c>
      <c r="D768" s="2" t="str">
        <f t="shared" si="162"/>
        <v>M</v>
      </c>
      <c r="E768" s="2" t="str">
        <f>"19690203"</f>
        <v>19690203</v>
      </c>
      <c r="F768" s="2" t="str">
        <f>"55"</f>
        <v>55</v>
      </c>
      <c r="G768" s="2" t="str">
        <f t="shared" si="165"/>
        <v>E80600</v>
      </c>
      <c r="H768" s="2" t="str">
        <f t="shared" si="166"/>
        <v>베올리아산업개발코리아 주식회사</v>
      </c>
      <c r="I768" s="2" t="str">
        <f t="shared" si="163"/>
        <v>특수</v>
      </c>
    </row>
    <row r="769" spans="1:9" x14ac:dyDescent="0.3">
      <c r="A769" s="2" t="str">
        <f>"20241106"</f>
        <v>20241106</v>
      </c>
      <c r="B769" s="2" t="str">
        <f>"26294002"</f>
        <v>26294002</v>
      </c>
      <c r="C769" s="2" t="str">
        <f>"정수현"</f>
        <v>정수현</v>
      </c>
      <c r="D769" s="2" t="str">
        <f>"F"</f>
        <v>F</v>
      </c>
      <c r="E769" s="2" t="str">
        <f>"19870502"</f>
        <v>19870502</v>
      </c>
      <c r="F769" s="2" t="str">
        <f>"37"</f>
        <v>37</v>
      </c>
      <c r="G769" s="2" t="str">
        <f>"C082029"</f>
        <v>C082029</v>
      </c>
      <c r="H769" s="2" t="str">
        <f>"바이젠셀 주식회사"</f>
        <v>바이젠셀 주식회사</v>
      </c>
      <c r="I769" s="2" t="str">
        <f t="shared" si="163"/>
        <v>특수</v>
      </c>
    </row>
    <row r="770" spans="1:9" x14ac:dyDescent="0.3">
      <c r="A770" s="2" t="str">
        <f>"20241106"</f>
        <v>20241106</v>
      </c>
      <c r="B770" s="2" t="str">
        <f>"33710384"</f>
        <v>33710384</v>
      </c>
      <c r="C770" s="2" t="str">
        <f>"조형아"</f>
        <v>조형아</v>
      </c>
      <c r="D770" s="2" t="str">
        <f>"F"</f>
        <v>F</v>
      </c>
      <c r="E770" s="2" t="str">
        <f>"19960109"</f>
        <v>19960109</v>
      </c>
      <c r="F770" s="2" t="str">
        <f>"28"</f>
        <v>28</v>
      </c>
      <c r="G770" s="2" t="str">
        <f>"C082029"</f>
        <v>C082029</v>
      </c>
      <c r="H770" s="2" t="str">
        <f>"바이젠셀 주식회사"</f>
        <v>바이젠셀 주식회사</v>
      </c>
      <c r="I770" s="2" t="str">
        <f t="shared" si="163"/>
        <v>특수</v>
      </c>
    </row>
    <row r="771" spans="1:9" x14ac:dyDescent="0.3">
      <c r="A771" s="2" t="str">
        <f>"20241106"</f>
        <v>20241106</v>
      </c>
      <c r="B771" s="2" t="str">
        <f>"39315093"</f>
        <v>39315093</v>
      </c>
      <c r="C771" s="2" t="str">
        <f>"안세희"</f>
        <v>안세희</v>
      </c>
      <c r="D771" s="2" t="str">
        <f>"F"</f>
        <v>F</v>
      </c>
      <c r="E771" s="2" t="str">
        <f>"19920511"</f>
        <v>19920511</v>
      </c>
      <c r="F771" s="2" t="str">
        <f>"32"</f>
        <v>32</v>
      </c>
      <c r="G771" s="2" t="str">
        <f>"C082029"</f>
        <v>C082029</v>
      </c>
      <c r="H771" s="2" t="str">
        <f>"바이젠셀 주식회사"</f>
        <v>바이젠셀 주식회사</v>
      </c>
      <c r="I771" s="2" t="str">
        <f t="shared" si="163"/>
        <v>특수</v>
      </c>
    </row>
    <row r="772" spans="1:9" x14ac:dyDescent="0.3">
      <c r="A772" s="2" t="str">
        <f>"20241106"</f>
        <v>20241106</v>
      </c>
      <c r="B772" s="2" t="str">
        <f>"39315101"</f>
        <v>39315101</v>
      </c>
      <c r="C772" s="2" t="str">
        <f>"유재익"</f>
        <v>유재익</v>
      </c>
      <c r="D772" s="2" t="str">
        <f>"M"</f>
        <v>M</v>
      </c>
      <c r="E772" s="2" t="str">
        <f>"19940308"</f>
        <v>19940308</v>
      </c>
      <c r="F772" s="2" t="str">
        <f>"30"</f>
        <v>30</v>
      </c>
      <c r="G772" s="2" t="str">
        <f>"C082029"</f>
        <v>C082029</v>
      </c>
      <c r="H772" s="2" t="str">
        <f>"바이젠셀 주식회사"</f>
        <v>바이젠셀 주식회사</v>
      </c>
      <c r="I772" s="2" t="str">
        <f t="shared" si="163"/>
        <v>특수</v>
      </c>
    </row>
    <row r="773" spans="1:9" x14ac:dyDescent="0.3">
      <c r="A773" s="2" t="str">
        <f>"20241113"</f>
        <v>20241113</v>
      </c>
      <c r="B773" s="2" t="str">
        <f>"19713772"</f>
        <v>19713772</v>
      </c>
      <c r="C773" s="2" t="str">
        <f>"고광상"</f>
        <v>고광상</v>
      </c>
      <c r="D773" s="2" t="str">
        <f>"M"</f>
        <v>M</v>
      </c>
      <c r="E773" s="2" t="str">
        <f>"19700127"</f>
        <v>19700127</v>
      </c>
      <c r="F773" s="2" t="str">
        <f>"54"</f>
        <v>54</v>
      </c>
      <c r="G773" s="2" t="str">
        <f t="shared" ref="G773:G836" si="167">"E78660"</f>
        <v>E78660</v>
      </c>
      <c r="H773" s="2" t="str">
        <f t="shared" ref="H773:H836" si="168">"가톨릭대학교 서울성모병원"</f>
        <v>가톨릭대학교 서울성모병원</v>
      </c>
      <c r="I773" s="2" t="str">
        <f t="shared" si="163"/>
        <v>특수</v>
      </c>
    </row>
    <row r="774" spans="1:9" x14ac:dyDescent="0.3">
      <c r="A774" s="2" t="str">
        <f t="shared" ref="A774:A779" si="169">"20241119"</f>
        <v>20241119</v>
      </c>
      <c r="B774" s="2" t="str">
        <f>"19741413"</f>
        <v>19741413</v>
      </c>
      <c r="C774" s="2" t="str">
        <f>"조민경"</f>
        <v>조민경</v>
      </c>
      <c r="D774" s="2" t="str">
        <f>"F"</f>
        <v>F</v>
      </c>
      <c r="E774" s="2" t="str">
        <f>"19860607"</f>
        <v>19860607</v>
      </c>
      <c r="F774" s="2" t="str">
        <f>"38"</f>
        <v>38</v>
      </c>
      <c r="G774" s="2" t="str">
        <f t="shared" si="167"/>
        <v>E78660</v>
      </c>
      <c r="H774" s="2" t="str">
        <f t="shared" si="168"/>
        <v>가톨릭대학교 서울성모병원</v>
      </c>
      <c r="I774" s="2" t="str">
        <f>"배치전"</f>
        <v>배치전</v>
      </c>
    </row>
    <row r="775" spans="1:9" x14ac:dyDescent="0.3">
      <c r="A775" s="2" t="str">
        <f t="shared" si="169"/>
        <v>20241119</v>
      </c>
      <c r="B775" s="2" t="str">
        <f>"22321482"</f>
        <v>22321482</v>
      </c>
      <c r="C775" s="2" t="str">
        <f>"한송이"</f>
        <v>한송이</v>
      </c>
      <c r="D775" s="2" t="str">
        <f>"F"</f>
        <v>F</v>
      </c>
      <c r="E775" s="2" t="str">
        <f>"19870206"</f>
        <v>19870206</v>
      </c>
      <c r="F775" s="2" t="str">
        <f>"37"</f>
        <v>37</v>
      </c>
      <c r="G775" s="2" t="str">
        <f t="shared" si="167"/>
        <v>E78660</v>
      </c>
      <c r="H775" s="2" t="str">
        <f t="shared" si="168"/>
        <v>가톨릭대학교 서울성모병원</v>
      </c>
      <c r="I775" s="2" t="str">
        <f>"배치후"</f>
        <v>배치후</v>
      </c>
    </row>
    <row r="776" spans="1:9" x14ac:dyDescent="0.3">
      <c r="A776" s="2" t="str">
        <f t="shared" si="169"/>
        <v>20241119</v>
      </c>
      <c r="B776" s="2" t="str">
        <f>"35142995"</f>
        <v>35142995</v>
      </c>
      <c r="C776" s="2" t="str">
        <f>"이하연"</f>
        <v>이하연</v>
      </c>
      <c r="D776" s="2" t="str">
        <f>"F"</f>
        <v>F</v>
      </c>
      <c r="E776" s="2" t="str">
        <f>"20000711"</f>
        <v>20000711</v>
      </c>
      <c r="F776" s="2" t="str">
        <f>"24"</f>
        <v>24</v>
      </c>
      <c r="G776" s="2" t="str">
        <f t="shared" si="167"/>
        <v>E78660</v>
      </c>
      <c r="H776" s="2" t="str">
        <f t="shared" si="168"/>
        <v>가톨릭대학교 서울성모병원</v>
      </c>
      <c r="I776" s="2" t="str">
        <f t="shared" ref="I776:I781" si="170">"배치전"</f>
        <v>배치전</v>
      </c>
    </row>
    <row r="777" spans="1:9" x14ac:dyDescent="0.3">
      <c r="A777" s="2" t="str">
        <f t="shared" si="169"/>
        <v>20241119</v>
      </c>
      <c r="B777" s="2" t="str">
        <f>"39712724"</f>
        <v>39712724</v>
      </c>
      <c r="C777" s="2" t="str">
        <f>"이서연"</f>
        <v>이서연</v>
      </c>
      <c r="D777" s="2" t="str">
        <f>"F"</f>
        <v>F</v>
      </c>
      <c r="E777" s="2" t="str">
        <f>"20001030"</f>
        <v>20001030</v>
      </c>
      <c r="F777" s="2" t="str">
        <f>"24"</f>
        <v>24</v>
      </c>
      <c r="G777" s="2" t="str">
        <f t="shared" si="167"/>
        <v>E78660</v>
      </c>
      <c r="H777" s="2" t="str">
        <f t="shared" si="168"/>
        <v>가톨릭대학교 서울성모병원</v>
      </c>
      <c r="I777" s="2" t="str">
        <f t="shared" si="170"/>
        <v>배치전</v>
      </c>
    </row>
    <row r="778" spans="1:9" x14ac:dyDescent="0.3">
      <c r="A778" s="2" t="str">
        <f t="shared" si="169"/>
        <v>20241119</v>
      </c>
      <c r="B778" s="2" t="str">
        <f>"40223441"</f>
        <v>40223441</v>
      </c>
      <c r="C778" s="2" t="str">
        <f>"곽도영"</f>
        <v>곽도영</v>
      </c>
      <c r="D778" s="2" t="str">
        <f>"M"</f>
        <v>M</v>
      </c>
      <c r="E778" s="2" t="str">
        <f>"19980905"</f>
        <v>19980905</v>
      </c>
      <c r="F778" s="2" t="str">
        <f>"26"</f>
        <v>26</v>
      </c>
      <c r="G778" s="2" t="str">
        <f t="shared" si="167"/>
        <v>E78660</v>
      </c>
      <c r="H778" s="2" t="str">
        <f t="shared" si="168"/>
        <v>가톨릭대학교 서울성모병원</v>
      </c>
      <c r="I778" s="2" t="str">
        <f t="shared" si="170"/>
        <v>배치전</v>
      </c>
    </row>
    <row r="779" spans="1:9" x14ac:dyDescent="0.3">
      <c r="A779" s="2" t="str">
        <f t="shared" si="169"/>
        <v>20241119</v>
      </c>
      <c r="B779" s="2" t="str">
        <f>"40413480"</f>
        <v>40413480</v>
      </c>
      <c r="C779" s="2" t="str">
        <f>"김리라"</f>
        <v>김리라</v>
      </c>
      <c r="D779" s="2" t="str">
        <f>"F"</f>
        <v>F</v>
      </c>
      <c r="E779" s="2" t="str">
        <f>"19800228"</f>
        <v>19800228</v>
      </c>
      <c r="F779" s="2" t="str">
        <f>"44"</f>
        <v>44</v>
      </c>
      <c r="G779" s="2" t="str">
        <f t="shared" si="167"/>
        <v>E78660</v>
      </c>
      <c r="H779" s="2" t="str">
        <f t="shared" si="168"/>
        <v>가톨릭대학교 서울성모병원</v>
      </c>
      <c r="I779" s="2" t="str">
        <f t="shared" si="170"/>
        <v>배치전</v>
      </c>
    </row>
    <row r="780" spans="1:9" x14ac:dyDescent="0.3">
      <c r="A780" s="2" t="str">
        <f t="shared" ref="A780:A791" si="171">"20241120"</f>
        <v>20241120</v>
      </c>
      <c r="B780" s="2" t="str">
        <f>"10871556"</f>
        <v>10871556</v>
      </c>
      <c r="C780" s="2" t="str">
        <f>"김영광"</f>
        <v>김영광</v>
      </c>
      <c r="D780" s="2" t="str">
        <f>"M"</f>
        <v>M</v>
      </c>
      <c r="E780" s="2" t="str">
        <f>"19730224"</f>
        <v>19730224</v>
      </c>
      <c r="F780" s="2" t="str">
        <f>"51"</f>
        <v>51</v>
      </c>
      <c r="G780" s="2" t="str">
        <f t="shared" si="167"/>
        <v>E78660</v>
      </c>
      <c r="H780" s="2" t="str">
        <f t="shared" si="168"/>
        <v>가톨릭대학교 서울성모병원</v>
      </c>
      <c r="I780" s="2" t="str">
        <f t="shared" si="170"/>
        <v>배치전</v>
      </c>
    </row>
    <row r="781" spans="1:9" x14ac:dyDescent="0.3">
      <c r="A781" s="2" t="str">
        <f t="shared" si="171"/>
        <v>20241120</v>
      </c>
      <c r="B781" s="2" t="str">
        <f>"19651464"</f>
        <v>19651464</v>
      </c>
      <c r="C781" s="2" t="str">
        <f>"홍현미"</f>
        <v>홍현미</v>
      </c>
      <c r="D781" s="2" t="str">
        <f t="shared" ref="D781:D792" si="172">"F"</f>
        <v>F</v>
      </c>
      <c r="E781" s="2" t="str">
        <f>"19830407"</f>
        <v>19830407</v>
      </c>
      <c r="F781" s="2" t="str">
        <f>"41"</f>
        <v>41</v>
      </c>
      <c r="G781" s="2" t="str">
        <f t="shared" si="167"/>
        <v>E78660</v>
      </c>
      <c r="H781" s="2" t="str">
        <f t="shared" si="168"/>
        <v>가톨릭대학교 서울성모병원</v>
      </c>
      <c r="I781" s="2" t="str">
        <f t="shared" si="170"/>
        <v>배치전</v>
      </c>
    </row>
    <row r="782" spans="1:9" x14ac:dyDescent="0.3">
      <c r="A782" s="2" t="str">
        <f t="shared" si="171"/>
        <v>20241120</v>
      </c>
      <c r="B782" s="2" t="str">
        <f>"23676011"</f>
        <v>23676011</v>
      </c>
      <c r="C782" s="2" t="str">
        <f>"강수인"</f>
        <v>강수인</v>
      </c>
      <c r="D782" s="2" t="str">
        <f t="shared" si="172"/>
        <v>F</v>
      </c>
      <c r="E782" s="2" t="str">
        <f>"19930214"</f>
        <v>19930214</v>
      </c>
      <c r="F782" s="2" t="str">
        <f>"31"</f>
        <v>31</v>
      </c>
      <c r="G782" s="2" t="str">
        <f t="shared" si="167"/>
        <v>E78660</v>
      </c>
      <c r="H782" s="2" t="str">
        <f t="shared" si="168"/>
        <v>가톨릭대학교 서울성모병원</v>
      </c>
      <c r="I782" s="2" t="str">
        <f>"배치후"</f>
        <v>배치후</v>
      </c>
    </row>
    <row r="783" spans="1:9" x14ac:dyDescent="0.3">
      <c r="A783" s="2" t="str">
        <f t="shared" si="171"/>
        <v>20241120</v>
      </c>
      <c r="B783" s="2" t="str">
        <f>"24089924"</f>
        <v>24089924</v>
      </c>
      <c r="C783" s="2" t="str">
        <f>"정보영"</f>
        <v>정보영</v>
      </c>
      <c r="D783" s="2" t="str">
        <f t="shared" si="172"/>
        <v>F</v>
      </c>
      <c r="E783" s="2" t="str">
        <f>"19870304"</f>
        <v>19870304</v>
      </c>
      <c r="F783" s="2" t="str">
        <f>"37"</f>
        <v>37</v>
      </c>
      <c r="G783" s="2" t="str">
        <f t="shared" si="167"/>
        <v>E78660</v>
      </c>
      <c r="H783" s="2" t="str">
        <f t="shared" si="168"/>
        <v>가톨릭대학교 서울성모병원</v>
      </c>
      <c r="I783" s="2" t="str">
        <f>"배치후"</f>
        <v>배치후</v>
      </c>
    </row>
    <row r="784" spans="1:9" x14ac:dyDescent="0.3">
      <c r="A784" s="2" t="str">
        <f t="shared" si="171"/>
        <v>20241120</v>
      </c>
      <c r="B784" s="2" t="str">
        <f>"26995320"</f>
        <v>26995320</v>
      </c>
      <c r="C784" s="2" t="str">
        <f>"최민정"</f>
        <v>최민정</v>
      </c>
      <c r="D784" s="2" t="str">
        <f t="shared" si="172"/>
        <v>F</v>
      </c>
      <c r="E784" s="2" t="str">
        <f>"19910804"</f>
        <v>19910804</v>
      </c>
      <c r="F784" s="2" t="str">
        <f>"33"</f>
        <v>33</v>
      </c>
      <c r="G784" s="2" t="str">
        <f t="shared" si="167"/>
        <v>E78660</v>
      </c>
      <c r="H784" s="2" t="str">
        <f t="shared" si="168"/>
        <v>가톨릭대학교 서울성모병원</v>
      </c>
      <c r="I784" s="2" t="str">
        <f>"배치후"</f>
        <v>배치후</v>
      </c>
    </row>
    <row r="785" spans="1:9" x14ac:dyDescent="0.3">
      <c r="A785" s="2" t="str">
        <f t="shared" si="171"/>
        <v>20241120</v>
      </c>
      <c r="B785" s="2" t="str">
        <f>"29315681"</f>
        <v>29315681</v>
      </c>
      <c r="C785" s="2" t="str">
        <f>"주지아"</f>
        <v>주지아</v>
      </c>
      <c r="D785" s="2" t="str">
        <f t="shared" si="172"/>
        <v>F</v>
      </c>
      <c r="E785" s="2" t="str">
        <f>"19920802"</f>
        <v>19920802</v>
      </c>
      <c r="F785" s="2" t="str">
        <f>"32"</f>
        <v>32</v>
      </c>
      <c r="G785" s="2" t="str">
        <f t="shared" si="167"/>
        <v>E78660</v>
      </c>
      <c r="H785" s="2" t="str">
        <f t="shared" si="168"/>
        <v>가톨릭대학교 서울성모병원</v>
      </c>
      <c r="I785" s="2" t="str">
        <f>"배치후"</f>
        <v>배치후</v>
      </c>
    </row>
    <row r="786" spans="1:9" x14ac:dyDescent="0.3">
      <c r="A786" s="2" t="str">
        <f t="shared" si="171"/>
        <v>20241120</v>
      </c>
      <c r="B786" s="2" t="str">
        <f>"38812042"</f>
        <v>38812042</v>
      </c>
      <c r="C786" s="2" t="str">
        <f>"이로은"</f>
        <v>이로은</v>
      </c>
      <c r="D786" s="2" t="str">
        <f t="shared" si="172"/>
        <v>F</v>
      </c>
      <c r="E786" s="2" t="str">
        <f>"19961105"</f>
        <v>19961105</v>
      </c>
      <c r="F786" s="2" t="str">
        <f>"28"</f>
        <v>28</v>
      </c>
      <c r="G786" s="2" t="str">
        <f t="shared" si="167"/>
        <v>E78660</v>
      </c>
      <c r="H786" s="2" t="str">
        <f t="shared" si="168"/>
        <v>가톨릭대학교 서울성모병원</v>
      </c>
      <c r="I786" s="2" t="str">
        <f>"배치전"</f>
        <v>배치전</v>
      </c>
    </row>
    <row r="787" spans="1:9" x14ac:dyDescent="0.3">
      <c r="A787" s="2" t="str">
        <f t="shared" si="171"/>
        <v>20241120</v>
      </c>
      <c r="B787" s="2" t="str">
        <f>"39858821"</f>
        <v>39858821</v>
      </c>
      <c r="C787" s="2" t="str">
        <f>"정혜령"</f>
        <v>정혜령</v>
      </c>
      <c r="D787" s="2" t="str">
        <f t="shared" si="172"/>
        <v>F</v>
      </c>
      <c r="E787" s="2" t="str">
        <f>"20001205"</f>
        <v>20001205</v>
      </c>
      <c r="F787" s="2" t="str">
        <f>"23"</f>
        <v>23</v>
      </c>
      <c r="G787" s="2" t="str">
        <f t="shared" si="167"/>
        <v>E78660</v>
      </c>
      <c r="H787" s="2" t="str">
        <f t="shared" si="168"/>
        <v>가톨릭대학교 서울성모병원</v>
      </c>
      <c r="I787" s="2" t="str">
        <f>"배치후"</f>
        <v>배치후</v>
      </c>
    </row>
    <row r="788" spans="1:9" x14ac:dyDescent="0.3">
      <c r="A788" s="2" t="str">
        <f t="shared" si="171"/>
        <v>20241120</v>
      </c>
      <c r="B788" s="2" t="str">
        <f>"39866133"</f>
        <v>39866133</v>
      </c>
      <c r="C788" s="2" t="str">
        <f>"박현진"</f>
        <v>박현진</v>
      </c>
      <c r="D788" s="2" t="str">
        <f t="shared" si="172"/>
        <v>F</v>
      </c>
      <c r="E788" s="2" t="str">
        <f>"19970820"</f>
        <v>19970820</v>
      </c>
      <c r="F788" s="2" t="str">
        <f>"27"</f>
        <v>27</v>
      </c>
      <c r="G788" s="2" t="str">
        <f t="shared" si="167"/>
        <v>E78660</v>
      </c>
      <c r="H788" s="2" t="str">
        <f t="shared" si="168"/>
        <v>가톨릭대학교 서울성모병원</v>
      </c>
      <c r="I788" s="2" t="str">
        <f>"배치후"</f>
        <v>배치후</v>
      </c>
    </row>
    <row r="789" spans="1:9" x14ac:dyDescent="0.3">
      <c r="A789" s="2" t="str">
        <f t="shared" si="171"/>
        <v>20241120</v>
      </c>
      <c r="B789" s="2" t="str">
        <f>"40404703"</f>
        <v>40404703</v>
      </c>
      <c r="C789" s="2" t="str">
        <f>"원의주"</f>
        <v>원의주</v>
      </c>
      <c r="D789" s="2" t="str">
        <f t="shared" si="172"/>
        <v>F</v>
      </c>
      <c r="E789" s="2" t="str">
        <f>"19980802"</f>
        <v>19980802</v>
      </c>
      <c r="F789" s="2" t="str">
        <f>"26"</f>
        <v>26</v>
      </c>
      <c r="G789" s="2" t="str">
        <f t="shared" si="167"/>
        <v>E78660</v>
      </c>
      <c r="H789" s="2" t="str">
        <f t="shared" si="168"/>
        <v>가톨릭대학교 서울성모병원</v>
      </c>
      <c r="I789" s="2" t="str">
        <f>"배치전"</f>
        <v>배치전</v>
      </c>
    </row>
    <row r="790" spans="1:9" x14ac:dyDescent="0.3">
      <c r="A790" s="2" t="str">
        <f t="shared" si="171"/>
        <v>20241120</v>
      </c>
      <c r="B790" s="2" t="str">
        <f>"40404741"</f>
        <v>40404741</v>
      </c>
      <c r="C790" s="2" t="str">
        <f>"정소현"</f>
        <v>정소현</v>
      </c>
      <c r="D790" s="2" t="str">
        <f t="shared" si="172"/>
        <v>F</v>
      </c>
      <c r="E790" s="2" t="str">
        <f>"19940705"</f>
        <v>19940705</v>
      </c>
      <c r="F790" s="2" t="str">
        <f>"30"</f>
        <v>30</v>
      </c>
      <c r="G790" s="2" t="str">
        <f t="shared" si="167"/>
        <v>E78660</v>
      </c>
      <c r="H790" s="2" t="str">
        <f t="shared" si="168"/>
        <v>가톨릭대학교 서울성모병원</v>
      </c>
      <c r="I790" s="2" t="str">
        <f>"배치전"</f>
        <v>배치전</v>
      </c>
    </row>
    <row r="791" spans="1:9" x14ac:dyDescent="0.3">
      <c r="A791" s="2" t="str">
        <f t="shared" si="171"/>
        <v>20241120</v>
      </c>
      <c r="B791" s="2" t="str">
        <f>"40406951"</f>
        <v>40406951</v>
      </c>
      <c r="C791" s="2" t="str">
        <f>"김다현"</f>
        <v>김다현</v>
      </c>
      <c r="D791" s="2" t="str">
        <f t="shared" si="172"/>
        <v>F</v>
      </c>
      <c r="E791" s="2" t="str">
        <f>"20001011"</f>
        <v>20001011</v>
      </c>
      <c r="F791" s="2" t="str">
        <f>"24"</f>
        <v>24</v>
      </c>
      <c r="G791" s="2" t="str">
        <f t="shared" si="167"/>
        <v>E78660</v>
      </c>
      <c r="H791" s="2" t="str">
        <f t="shared" si="168"/>
        <v>가톨릭대학교 서울성모병원</v>
      </c>
      <c r="I791" s="2" t="str">
        <f>"배치전"</f>
        <v>배치전</v>
      </c>
    </row>
    <row r="792" spans="1:9" x14ac:dyDescent="0.3">
      <c r="A792" s="2" t="str">
        <f>"20241126"</f>
        <v>20241126</v>
      </c>
      <c r="B792" s="2" t="str">
        <f>"13637851"</f>
        <v>13637851</v>
      </c>
      <c r="C792" s="2" t="str">
        <f>"박지숙"</f>
        <v>박지숙</v>
      </c>
      <c r="D792" s="2" t="str">
        <f t="shared" si="172"/>
        <v>F</v>
      </c>
      <c r="E792" s="2" t="str">
        <f>"19790809"</f>
        <v>19790809</v>
      </c>
      <c r="F792" s="2" t="str">
        <f>"45"</f>
        <v>45</v>
      </c>
      <c r="G792" s="2" t="str">
        <f t="shared" si="167"/>
        <v>E78660</v>
      </c>
      <c r="H792" s="2" t="str">
        <f t="shared" si="168"/>
        <v>가톨릭대학교 서울성모병원</v>
      </c>
      <c r="I792" s="2" t="str">
        <f>"배치후"</f>
        <v>배치후</v>
      </c>
    </row>
    <row r="793" spans="1:9" x14ac:dyDescent="0.3">
      <c r="A793" s="2" t="str">
        <f>"20241126"</f>
        <v>20241126</v>
      </c>
      <c r="B793" s="2" t="str">
        <f>"29642564"</f>
        <v>29642564</v>
      </c>
      <c r="C793" s="2" t="str">
        <f>"이용빈"</f>
        <v>이용빈</v>
      </c>
      <c r="D793" s="2" t="str">
        <f>"M"</f>
        <v>M</v>
      </c>
      <c r="E793" s="2" t="str">
        <f>"19970827"</f>
        <v>19970827</v>
      </c>
      <c r="F793" s="2" t="str">
        <f>"27"</f>
        <v>27</v>
      </c>
      <c r="G793" s="2" t="str">
        <f t="shared" si="167"/>
        <v>E78660</v>
      </c>
      <c r="H793" s="2" t="str">
        <f t="shared" si="168"/>
        <v>가톨릭대학교 서울성모병원</v>
      </c>
      <c r="I793" s="2" t="str">
        <f>"배치후"</f>
        <v>배치후</v>
      </c>
    </row>
    <row r="794" spans="1:9" x14ac:dyDescent="0.3">
      <c r="A794" s="2" t="str">
        <f>"20241126"</f>
        <v>20241126</v>
      </c>
      <c r="B794" s="2" t="str">
        <f>"32007961"</f>
        <v>32007961</v>
      </c>
      <c r="C794" s="2" t="str">
        <f>"김상역"</f>
        <v>김상역</v>
      </c>
      <c r="D794" s="2" t="str">
        <f>"M"</f>
        <v>M</v>
      </c>
      <c r="E794" s="2" t="str">
        <f>"19990611"</f>
        <v>19990611</v>
      </c>
      <c r="F794" s="2" t="str">
        <f>"25"</f>
        <v>25</v>
      </c>
      <c r="G794" s="2" t="str">
        <f t="shared" si="167"/>
        <v>E78660</v>
      </c>
      <c r="H794" s="2" t="str">
        <f t="shared" si="168"/>
        <v>가톨릭대학교 서울성모병원</v>
      </c>
      <c r="I794" s="2" t="str">
        <f>"배치전"</f>
        <v>배치전</v>
      </c>
    </row>
    <row r="795" spans="1:9" x14ac:dyDescent="0.3">
      <c r="A795" s="2" t="str">
        <f>"20241126"</f>
        <v>20241126</v>
      </c>
      <c r="B795" s="2" t="str">
        <f>"35499742"</f>
        <v>35499742</v>
      </c>
      <c r="C795" s="2" t="str">
        <f>"권지혜"</f>
        <v>권지혜</v>
      </c>
      <c r="D795" s="2" t="str">
        <f>"F"</f>
        <v>F</v>
      </c>
      <c r="E795" s="2" t="str">
        <f>"19971124"</f>
        <v>19971124</v>
      </c>
      <c r="F795" s="2" t="str">
        <f>"27"</f>
        <v>27</v>
      </c>
      <c r="G795" s="2" t="str">
        <f t="shared" si="167"/>
        <v>E78660</v>
      </c>
      <c r="H795" s="2" t="str">
        <f t="shared" si="168"/>
        <v>가톨릭대학교 서울성모병원</v>
      </c>
      <c r="I795" s="2" t="str">
        <f>"배치후"</f>
        <v>배치후</v>
      </c>
    </row>
    <row r="796" spans="1:9" x14ac:dyDescent="0.3">
      <c r="A796" s="2" t="str">
        <f>"20241126"</f>
        <v>20241126</v>
      </c>
      <c r="B796" s="2" t="str">
        <f>"40406973"</f>
        <v>40406973</v>
      </c>
      <c r="C796" s="2" t="str">
        <f>"이창민"</f>
        <v>이창민</v>
      </c>
      <c r="D796" s="2" t="str">
        <f>"M"</f>
        <v>M</v>
      </c>
      <c r="E796" s="2" t="str">
        <f>"20000127"</f>
        <v>20000127</v>
      </c>
      <c r="F796" s="2" t="str">
        <f>"24"</f>
        <v>24</v>
      </c>
      <c r="G796" s="2" t="str">
        <f t="shared" si="167"/>
        <v>E78660</v>
      </c>
      <c r="H796" s="2" t="str">
        <f t="shared" si="168"/>
        <v>가톨릭대학교 서울성모병원</v>
      </c>
      <c r="I796" s="2" t="str">
        <f>"배치전"</f>
        <v>배치전</v>
      </c>
    </row>
    <row r="797" spans="1:9" x14ac:dyDescent="0.3">
      <c r="A797" s="2" t="str">
        <f t="shared" ref="A797:A802" si="173">"20241127"</f>
        <v>20241127</v>
      </c>
      <c r="B797" s="2" t="str">
        <f>"19187728"</f>
        <v>19187728</v>
      </c>
      <c r="C797" s="2" t="str">
        <f>"최고은"</f>
        <v>최고은</v>
      </c>
      <c r="D797" s="2" t="str">
        <f>"F"</f>
        <v>F</v>
      </c>
      <c r="E797" s="2" t="str">
        <f>"19840907"</f>
        <v>19840907</v>
      </c>
      <c r="F797" s="2" t="str">
        <f>"40"</f>
        <v>40</v>
      </c>
      <c r="G797" s="2" t="str">
        <f t="shared" si="167"/>
        <v>E78660</v>
      </c>
      <c r="H797" s="2" t="str">
        <f t="shared" si="168"/>
        <v>가톨릭대학교 서울성모병원</v>
      </c>
      <c r="I797" s="2" t="str">
        <f>"배치후"</f>
        <v>배치후</v>
      </c>
    </row>
    <row r="798" spans="1:9" x14ac:dyDescent="0.3">
      <c r="A798" s="2" t="str">
        <f t="shared" si="173"/>
        <v>20241127</v>
      </c>
      <c r="B798" s="2" t="str">
        <f>"39850053"</f>
        <v>39850053</v>
      </c>
      <c r="C798" s="2" t="str">
        <f>"이승재"</f>
        <v>이승재</v>
      </c>
      <c r="D798" s="2" t="str">
        <f>"M"</f>
        <v>M</v>
      </c>
      <c r="E798" s="2" t="str">
        <f>"19960629"</f>
        <v>19960629</v>
      </c>
      <c r="F798" s="2" t="str">
        <f>"28"</f>
        <v>28</v>
      </c>
      <c r="G798" s="2" t="str">
        <f t="shared" si="167"/>
        <v>E78660</v>
      </c>
      <c r="H798" s="2" t="str">
        <f t="shared" si="168"/>
        <v>가톨릭대학교 서울성모병원</v>
      </c>
      <c r="I798" s="2" t="str">
        <f>"배치후"</f>
        <v>배치후</v>
      </c>
    </row>
    <row r="799" spans="1:9" x14ac:dyDescent="0.3">
      <c r="A799" s="2" t="str">
        <f t="shared" si="173"/>
        <v>20241127</v>
      </c>
      <c r="B799" s="2" t="str">
        <f>"39850071"</f>
        <v>39850071</v>
      </c>
      <c r="C799" s="2" t="str">
        <f>"김종훈"</f>
        <v>김종훈</v>
      </c>
      <c r="D799" s="2" t="str">
        <f>"M"</f>
        <v>M</v>
      </c>
      <c r="E799" s="2" t="str">
        <f>"19870113"</f>
        <v>19870113</v>
      </c>
      <c r="F799" s="2" t="str">
        <f>"37"</f>
        <v>37</v>
      </c>
      <c r="G799" s="2" t="str">
        <f t="shared" si="167"/>
        <v>E78660</v>
      </c>
      <c r="H799" s="2" t="str">
        <f t="shared" si="168"/>
        <v>가톨릭대학교 서울성모병원</v>
      </c>
      <c r="I799" s="2" t="str">
        <f>"배치후"</f>
        <v>배치후</v>
      </c>
    </row>
    <row r="800" spans="1:9" x14ac:dyDescent="0.3">
      <c r="A800" s="2" t="str">
        <f t="shared" si="173"/>
        <v>20241127</v>
      </c>
      <c r="B800" s="2" t="str">
        <f>"40237614"</f>
        <v>40237614</v>
      </c>
      <c r="C800" s="2" t="str">
        <f>"권현진"</f>
        <v>권현진</v>
      </c>
      <c r="D800" s="2" t="str">
        <f>"F"</f>
        <v>F</v>
      </c>
      <c r="E800" s="2" t="str">
        <f>"19800530"</f>
        <v>19800530</v>
      </c>
      <c r="F800" s="2" t="str">
        <f>"44"</f>
        <v>44</v>
      </c>
      <c r="G800" s="2" t="str">
        <f t="shared" si="167"/>
        <v>E78660</v>
      </c>
      <c r="H800" s="2" t="str">
        <f t="shared" si="168"/>
        <v>가톨릭대학교 서울성모병원</v>
      </c>
      <c r="I800" s="2" t="str">
        <f>"배치전"</f>
        <v>배치전</v>
      </c>
    </row>
    <row r="801" spans="1:9" x14ac:dyDescent="0.3">
      <c r="A801" s="2" t="str">
        <f t="shared" si="173"/>
        <v>20241127</v>
      </c>
      <c r="B801" s="2" t="str">
        <f>"40316790"</f>
        <v>40316790</v>
      </c>
      <c r="C801" s="2" t="str">
        <f>"조성윤"</f>
        <v>조성윤</v>
      </c>
      <c r="D801" s="2" t="str">
        <f>"M"</f>
        <v>M</v>
      </c>
      <c r="E801" s="2" t="str">
        <f>"20010703"</f>
        <v>20010703</v>
      </c>
      <c r="F801" s="2" t="str">
        <f>"23"</f>
        <v>23</v>
      </c>
      <c r="G801" s="2" t="str">
        <f t="shared" si="167"/>
        <v>E78660</v>
      </c>
      <c r="H801" s="2" t="str">
        <f t="shared" si="168"/>
        <v>가톨릭대학교 서울성모병원</v>
      </c>
      <c r="I801" s="2" t="str">
        <f>"배치전"</f>
        <v>배치전</v>
      </c>
    </row>
    <row r="802" spans="1:9" x14ac:dyDescent="0.3">
      <c r="A802" s="2" t="str">
        <f t="shared" si="173"/>
        <v>20241127</v>
      </c>
      <c r="B802" s="2" t="str">
        <f>"40421412"</f>
        <v>40421412</v>
      </c>
      <c r="C802" s="2" t="str">
        <f>"이주아"</f>
        <v>이주아</v>
      </c>
      <c r="D802" s="2" t="str">
        <f t="shared" ref="D802:D810" si="174">"F"</f>
        <v>F</v>
      </c>
      <c r="E802" s="2" t="str">
        <f>"19960709"</f>
        <v>19960709</v>
      </c>
      <c r="F802" s="2" t="str">
        <f>"28"</f>
        <v>28</v>
      </c>
      <c r="G802" s="2" t="str">
        <f t="shared" si="167"/>
        <v>E78660</v>
      </c>
      <c r="H802" s="2" t="str">
        <f t="shared" si="168"/>
        <v>가톨릭대학교 서울성모병원</v>
      </c>
      <c r="I802" s="2" t="str">
        <f>"배치전"</f>
        <v>배치전</v>
      </c>
    </row>
    <row r="803" spans="1:9" x14ac:dyDescent="0.3">
      <c r="A803" s="2" t="str">
        <f t="shared" ref="A803:A808" si="175">"20241217"</f>
        <v>20241217</v>
      </c>
      <c r="B803" s="2" t="str">
        <f>"16634183"</f>
        <v>16634183</v>
      </c>
      <c r="C803" s="2" t="str">
        <f>"김혜림"</f>
        <v>김혜림</v>
      </c>
      <c r="D803" s="2" t="str">
        <f t="shared" si="174"/>
        <v>F</v>
      </c>
      <c r="E803" s="2" t="str">
        <f>"19850702"</f>
        <v>19850702</v>
      </c>
      <c r="F803" s="2" t="str">
        <f>"39"</f>
        <v>39</v>
      </c>
      <c r="G803" s="2" t="str">
        <f t="shared" si="167"/>
        <v>E78660</v>
      </c>
      <c r="H803" s="2" t="str">
        <f t="shared" si="168"/>
        <v>가톨릭대학교 서울성모병원</v>
      </c>
      <c r="I803" s="2" t="str">
        <f>"배치후"</f>
        <v>배치후</v>
      </c>
    </row>
    <row r="804" spans="1:9" x14ac:dyDescent="0.3">
      <c r="A804" s="2" t="str">
        <f t="shared" si="175"/>
        <v>20241217</v>
      </c>
      <c r="B804" s="2" t="str">
        <f>"35505943"</f>
        <v>35505943</v>
      </c>
      <c r="C804" s="2" t="str">
        <f>"정윤하"</f>
        <v>정윤하</v>
      </c>
      <c r="D804" s="2" t="str">
        <f t="shared" si="174"/>
        <v>F</v>
      </c>
      <c r="E804" s="2" t="str">
        <f>"19971029"</f>
        <v>19971029</v>
      </c>
      <c r="F804" s="2" t="str">
        <f>"27"</f>
        <v>27</v>
      </c>
      <c r="G804" s="2" t="str">
        <f t="shared" si="167"/>
        <v>E78660</v>
      </c>
      <c r="H804" s="2" t="str">
        <f t="shared" si="168"/>
        <v>가톨릭대학교 서울성모병원</v>
      </c>
      <c r="I804" s="2" t="str">
        <f>"배치후"</f>
        <v>배치후</v>
      </c>
    </row>
    <row r="805" spans="1:9" x14ac:dyDescent="0.3">
      <c r="A805" s="2" t="str">
        <f t="shared" si="175"/>
        <v>20241217</v>
      </c>
      <c r="B805" s="2" t="str">
        <f>"40468212"</f>
        <v>40468212</v>
      </c>
      <c r="C805" s="2" t="str">
        <f>"선영희"</f>
        <v>선영희</v>
      </c>
      <c r="D805" s="2" t="str">
        <f t="shared" si="174"/>
        <v>F</v>
      </c>
      <c r="E805" s="2" t="str">
        <f>"19710320"</f>
        <v>19710320</v>
      </c>
      <c r="F805" s="2" t="str">
        <f>"53"</f>
        <v>53</v>
      </c>
      <c r="G805" s="2" t="str">
        <f t="shared" si="167"/>
        <v>E78660</v>
      </c>
      <c r="H805" s="2" t="str">
        <f t="shared" si="168"/>
        <v>가톨릭대학교 서울성모병원</v>
      </c>
      <c r="I805" s="2" t="str">
        <f>"배치전"</f>
        <v>배치전</v>
      </c>
    </row>
    <row r="806" spans="1:9" x14ac:dyDescent="0.3">
      <c r="A806" s="2" t="str">
        <f t="shared" si="175"/>
        <v>20241217</v>
      </c>
      <c r="B806" s="2" t="str">
        <f>"40468380"</f>
        <v>40468380</v>
      </c>
      <c r="C806" s="2" t="str">
        <f>"김제인"</f>
        <v>김제인</v>
      </c>
      <c r="D806" s="2" t="str">
        <f t="shared" si="174"/>
        <v>F</v>
      </c>
      <c r="E806" s="2" t="str">
        <f>"19920601"</f>
        <v>19920601</v>
      </c>
      <c r="F806" s="2" t="str">
        <f>"32"</f>
        <v>32</v>
      </c>
      <c r="G806" s="2" t="str">
        <f t="shared" si="167"/>
        <v>E78660</v>
      </c>
      <c r="H806" s="2" t="str">
        <f t="shared" si="168"/>
        <v>가톨릭대학교 서울성모병원</v>
      </c>
      <c r="I806" s="2" t="str">
        <f>"배치전"</f>
        <v>배치전</v>
      </c>
    </row>
    <row r="807" spans="1:9" x14ac:dyDescent="0.3">
      <c r="A807" s="2" t="str">
        <f t="shared" si="175"/>
        <v>20241217</v>
      </c>
      <c r="B807" s="2" t="str">
        <f>"40468415"</f>
        <v>40468415</v>
      </c>
      <c r="C807" s="2" t="str">
        <f>"손유정"</f>
        <v>손유정</v>
      </c>
      <c r="D807" s="2" t="str">
        <f t="shared" si="174"/>
        <v>F</v>
      </c>
      <c r="E807" s="2" t="str">
        <f>"19951116"</f>
        <v>19951116</v>
      </c>
      <c r="F807" s="2" t="str">
        <f>"29"</f>
        <v>29</v>
      </c>
      <c r="G807" s="2" t="str">
        <f t="shared" si="167"/>
        <v>E78660</v>
      </c>
      <c r="H807" s="2" t="str">
        <f t="shared" si="168"/>
        <v>가톨릭대학교 서울성모병원</v>
      </c>
      <c r="I807" s="2" t="str">
        <f>"배치전"</f>
        <v>배치전</v>
      </c>
    </row>
    <row r="808" spans="1:9" x14ac:dyDescent="0.3">
      <c r="A808" s="2" t="str">
        <f t="shared" si="175"/>
        <v>20241217</v>
      </c>
      <c r="B808" s="2" t="str">
        <f>"40493982"</f>
        <v>40493982</v>
      </c>
      <c r="C808" s="2" t="str">
        <f>"안현지"</f>
        <v>안현지</v>
      </c>
      <c r="D808" s="2" t="str">
        <f t="shared" si="174"/>
        <v>F</v>
      </c>
      <c r="E808" s="2" t="str">
        <f>"19990709"</f>
        <v>19990709</v>
      </c>
      <c r="F808" s="2" t="str">
        <f>"25"</f>
        <v>25</v>
      </c>
      <c r="G808" s="2" t="str">
        <f t="shared" si="167"/>
        <v>E78660</v>
      </c>
      <c r="H808" s="2" t="str">
        <f t="shared" si="168"/>
        <v>가톨릭대학교 서울성모병원</v>
      </c>
      <c r="I808" s="2" t="str">
        <f>"배치전"</f>
        <v>배치전</v>
      </c>
    </row>
    <row r="809" spans="1:9" x14ac:dyDescent="0.3">
      <c r="A809" s="2" t="str">
        <f t="shared" ref="A809:A819" si="176">"20241218"</f>
        <v>20241218</v>
      </c>
      <c r="B809" s="2" t="str">
        <f>"14511611"</f>
        <v>14511611</v>
      </c>
      <c r="C809" s="2" t="str">
        <f>"정솔희"</f>
        <v>정솔희</v>
      </c>
      <c r="D809" s="2" t="str">
        <f t="shared" si="174"/>
        <v>F</v>
      </c>
      <c r="E809" s="2" t="str">
        <f>"19980210"</f>
        <v>19980210</v>
      </c>
      <c r="F809" s="2" t="str">
        <f>"26"</f>
        <v>26</v>
      </c>
      <c r="G809" s="2" t="str">
        <f t="shared" si="167"/>
        <v>E78660</v>
      </c>
      <c r="H809" s="2" t="str">
        <f t="shared" si="168"/>
        <v>가톨릭대학교 서울성모병원</v>
      </c>
      <c r="I809" s="2" t="str">
        <f>"배치후"</f>
        <v>배치후</v>
      </c>
    </row>
    <row r="810" spans="1:9" x14ac:dyDescent="0.3">
      <c r="A810" s="2" t="str">
        <f t="shared" si="176"/>
        <v>20241218</v>
      </c>
      <c r="B810" s="2" t="str">
        <f>"22411601"</f>
        <v>22411601</v>
      </c>
      <c r="C810" s="2" t="str">
        <f>"박서진"</f>
        <v>박서진</v>
      </c>
      <c r="D810" s="2" t="str">
        <f t="shared" si="174"/>
        <v>F</v>
      </c>
      <c r="E810" s="2" t="str">
        <f>"19900621"</f>
        <v>19900621</v>
      </c>
      <c r="F810" s="2" t="str">
        <f>"34"</f>
        <v>34</v>
      </c>
      <c r="G810" s="2" t="str">
        <f t="shared" si="167"/>
        <v>E78660</v>
      </c>
      <c r="H810" s="2" t="str">
        <f t="shared" si="168"/>
        <v>가톨릭대학교 서울성모병원</v>
      </c>
      <c r="I810" s="2" t="str">
        <f>"배치전"</f>
        <v>배치전</v>
      </c>
    </row>
    <row r="811" spans="1:9" x14ac:dyDescent="0.3">
      <c r="A811" s="2" t="str">
        <f t="shared" si="176"/>
        <v>20241218</v>
      </c>
      <c r="B811" s="2" t="str">
        <f>"34182000"</f>
        <v>34182000</v>
      </c>
      <c r="C811" s="2" t="str">
        <f>"조민제"</f>
        <v>조민제</v>
      </c>
      <c r="D811" s="2" t="str">
        <f>"M"</f>
        <v>M</v>
      </c>
      <c r="E811" s="2" t="str">
        <f>"19871012"</f>
        <v>19871012</v>
      </c>
      <c r="F811" s="2" t="str">
        <f>"37"</f>
        <v>37</v>
      </c>
      <c r="G811" s="2" t="str">
        <f t="shared" si="167"/>
        <v>E78660</v>
      </c>
      <c r="H811" s="2" t="str">
        <f t="shared" si="168"/>
        <v>가톨릭대학교 서울성모병원</v>
      </c>
      <c r="I811" s="2" t="str">
        <f>"배치전"</f>
        <v>배치전</v>
      </c>
    </row>
    <row r="812" spans="1:9" x14ac:dyDescent="0.3">
      <c r="A812" s="2" t="str">
        <f t="shared" si="176"/>
        <v>20241218</v>
      </c>
      <c r="B812" s="2" t="str">
        <f>"37068832"</f>
        <v>37068832</v>
      </c>
      <c r="C812" s="2" t="str">
        <f>"김미애"</f>
        <v>김미애</v>
      </c>
      <c r="D812" s="2" t="str">
        <f>"F"</f>
        <v>F</v>
      </c>
      <c r="E812" s="2" t="str">
        <f>"19960821"</f>
        <v>19960821</v>
      </c>
      <c r="F812" s="2" t="str">
        <f>"28"</f>
        <v>28</v>
      </c>
      <c r="G812" s="2" t="str">
        <f t="shared" si="167"/>
        <v>E78660</v>
      </c>
      <c r="H812" s="2" t="str">
        <f t="shared" si="168"/>
        <v>가톨릭대학교 서울성모병원</v>
      </c>
      <c r="I812" s="2" t="str">
        <f>"배치후"</f>
        <v>배치후</v>
      </c>
    </row>
    <row r="813" spans="1:9" x14ac:dyDescent="0.3">
      <c r="A813" s="2" t="str">
        <f t="shared" si="176"/>
        <v>20241218</v>
      </c>
      <c r="B813" s="2" t="str">
        <f>"39884821"</f>
        <v>39884821</v>
      </c>
      <c r="C813" s="2" t="str">
        <f>"신명아"</f>
        <v>신명아</v>
      </c>
      <c r="D813" s="2" t="str">
        <f>"F"</f>
        <v>F</v>
      </c>
      <c r="E813" s="2" t="str">
        <f>"19920915"</f>
        <v>19920915</v>
      </c>
      <c r="F813" s="2" t="str">
        <f>"32"</f>
        <v>32</v>
      </c>
      <c r="G813" s="2" t="str">
        <f t="shared" si="167"/>
        <v>E78660</v>
      </c>
      <c r="H813" s="2" t="str">
        <f t="shared" si="168"/>
        <v>가톨릭대학교 서울성모병원</v>
      </c>
      <c r="I813" s="2" t="str">
        <f>"배치후"</f>
        <v>배치후</v>
      </c>
    </row>
    <row r="814" spans="1:9" x14ac:dyDescent="0.3">
      <c r="A814" s="2" t="str">
        <f t="shared" si="176"/>
        <v>20241218</v>
      </c>
      <c r="B814" s="2" t="str">
        <f>"40413453"</f>
        <v>40413453</v>
      </c>
      <c r="C814" s="2" t="str">
        <f>"공도경"</f>
        <v>공도경</v>
      </c>
      <c r="D814" s="2" t="str">
        <f>"F"</f>
        <v>F</v>
      </c>
      <c r="E814" s="2" t="str">
        <f>"20000713"</f>
        <v>20000713</v>
      </c>
      <c r="F814" s="2" t="str">
        <f>"24"</f>
        <v>24</v>
      </c>
      <c r="G814" s="2" t="str">
        <f t="shared" si="167"/>
        <v>E78660</v>
      </c>
      <c r="H814" s="2" t="str">
        <f t="shared" si="168"/>
        <v>가톨릭대학교 서울성모병원</v>
      </c>
      <c r="I814" s="2" t="str">
        <f t="shared" ref="I814:I819" si="177">"배치전"</f>
        <v>배치전</v>
      </c>
    </row>
    <row r="815" spans="1:9" x14ac:dyDescent="0.3">
      <c r="A815" s="2" t="str">
        <f t="shared" si="176"/>
        <v>20241218</v>
      </c>
      <c r="B815" s="2" t="str">
        <f>"40499171"</f>
        <v>40499171</v>
      </c>
      <c r="C815" s="2" t="str">
        <f>"최현영"</f>
        <v>최현영</v>
      </c>
      <c r="D815" s="2" t="str">
        <f>"F"</f>
        <v>F</v>
      </c>
      <c r="E815" s="2" t="str">
        <f>"20010621"</f>
        <v>20010621</v>
      </c>
      <c r="F815" s="2" t="str">
        <f>"23"</f>
        <v>23</v>
      </c>
      <c r="G815" s="2" t="str">
        <f t="shared" si="167"/>
        <v>E78660</v>
      </c>
      <c r="H815" s="2" t="str">
        <f t="shared" si="168"/>
        <v>가톨릭대학교 서울성모병원</v>
      </c>
      <c r="I815" s="2" t="str">
        <f t="shared" si="177"/>
        <v>배치전</v>
      </c>
    </row>
    <row r="816" spans="1:9" x14ac:dyDescent="0.3">
      <c r="A816" s="2" t="str">
        <f t="shared" si="176"/>
        <v>20241218</v>
      </c>
      <c r="B816" s="2" t="str">
        <f>"40499206"</f>
        <v>40499206</v>
      </c>
      <c r="C816" s="2" t="str">
        <f>"박혜선"</f>
        <v>박혜선</v>
      </c>
      <c r="D816" s="2" t="str">
        <f>"F"</f>
        <v>F</v>
      </c>
      <c r="E816" s="2" t="str">
        <f>"19960227"</f>
        <v>19960227</v>
      </c>
      <c r="F816" s="2" t="str">
        <f>"28"</f>
        <v>28</v>
      </c>
      <c r="G816" s="2" t="str">
        <f t="shared" si="167"/>
        <v>E78660</v>
      </c>
      <c r="H816" s="2" t="str">
        <f t="shared" si="168"/>
        <v>가톨릭대학교 서울성모병원</v>
      </c>
      <c r="I816" s="2" t="str">
        <f t="shared" si="177"/>
        <v>배치전</v>
      </c>
    </row>
    <row r="817" spans="1:9" x14ac:dyDescent="0.3">
      <c r="A817" s="2" t="str">
        <f t="shared" si="176"/>
        <v>20241218</v>
      </c>
      <c r="B817" s="2" t="str">
        <f>"40499304"</f>
        <v>40499304</v>
      </c>
      <c r="C817" s="2" t="str">
        <f>"김태수"</f>
        <v>김태수</v>
      </c>
      <c r="D817" s="2" t="str">
        <f>"M"</f>
        <v>M</v>
      </c>
      <c r="E817" s="2" t="str">
        <f>"19980313"</f>
        <v>19980313</v>
      </c>
      <c r="F817" s="2" t="str">
        <f>"26"</f>
        <v>26</v>
      </c>
      <c r="G817" s="2" t="str">
        <f t="shared" si="167"/>
        <v>E78660</v>
      </c>
      <c r="H817" s="2" t="str">
        <f t="shared" si="168"/>
        <v>가톨릭대학교 서울성모병원</v>
      </c>
      <c r="I817" s="2" t="str">
        <f t="shared" si="177"/>
        <v>배치전</v>
      </c>
    </row>
    <row r="818" spans="1:9" x14ac:dyDescent="0.3">
      <c r="A818" s="2" t="str">
        <f t="shared" si="176"/>
        <v>20241218</v>
      </c>
      <c r="B818" s="2" t="str">
        <f>"40517781"</f>
        <v>40517781</v>
      </c>
      <c r="C818" s="2" t="str">
        <f>"안연정"</f>
        <v>안연정</v>
      </c>
      <c r="D818" s="2" t="str">
        <f>"F"</f>
        <v>F</v>
      </c>
      <c r="E818" s="2" t="str">
        <f>"19961223"</f>
        <v>19961223</v>
      </c>
      <c r="F818" s="2" t="str">
        <f>"28"</f>
        <v>28</v>
      </c>
      <c r="G818" s="2" t="str">
        <f t="shared" si="167"/>
        <v>E78660</v>
      </c>
      <c r="H818" s="2" t="str">
        <f t="shared" si="168"/>
        <v>가톨릭대학교 서울성모병원</v>
      </c>
      <c r="I818" s="2" t="str">
        <f t="shared" si="177"/>
        <v>배치전</v>
      </c>
    </row>
    <row r="819" spans="1:9" x14ac:dyDescent="0.3">
      <c r="A819" s="2" t="str">
        <f t="shared" si="176"/>
        <v>20241218</v>
      </c>
      <c r="B819" s="2" t="str">
        <f>"40519336"</f>
        <v>40519336</v>
      </c>
      <c r="C819" s="2" t="str">
        <f>"김동현"</f>
        <v>김동현</v>
      </c>
      <c r="D819" s="2" t="str">
        <f>"M"</f>
        <v>M</v>
      </c>
      <c r="E819" s="2" t="str">
        <f>"19951105"</f>
        <v>19951105</v>
      </c>
      <c r="F819" s="2" t="str">
        <f>"29"</f>
        <v>29</v>
      </c>
      <c r="G819" s="2" t="str">
        <f t="shared" si="167"/>
        <v>E78660</v>
      </c>
      <c r="H819" s="2" t="str">
        <f t="shared" si="168"/>
        <v>가톨릭대학교 서울성모병원</v>
      </c>
      <c r="I819" s="2" t="str">
        <f t="shared" si="177"/>
        <v>배치전</v>
      </c>
    </row>
    <row r="820" spans="1:9" x14ac:dyDescent="0.3">
      <c r="A820" s="2" t="str">
        <f>"20241230"</f>
        <v>20241230</v>
      </c>
      <c r="B820" s="2" t="str">
        <f>"21548362"</f>
        <v>21548362</v>
      </c>
      <c r="C820" s="2" t="str">
        <f>"최근애"</f>
        <v>최근애</v>
      </c>
      <c r="D820" s="2" t="str">
        <f t="shared" ref="D820:D826" si="178">"F"</f>
        <v>F</v>
      </c>
      <c r="E820" s="2" t="str">
        <f>"19830526"</f>
        <v>19830526</v>
      </c>
      <c r="F820" s="2" t="str">
        <f>"41"</f>
        <v>41</v>
      </c>
      <c r="G820" s="2" t="str">
        <f t="shared" si="167"/>
        <v>E78660</v>
      </c>
      <c r="H820" s="2" t="str">
        <f t="shared" si="168"/>
        <v>가톨릭대학교 서울성모병원</v>
      </c>
      <c r="I820" s="2" t="str">
        <f>"배치후"</f>
        <v>배치후</v>
      </c>
    </row>
    <row r="821" spans="1:9" x14ac:dyDescent="0.3">
      <c r="A821" s="2" t="str">
        <f>"20241230"</f>
        <v>20241230</v>
      </c>
      <c r="B821" s="2" t="str">
        <f>"40401882"</f>
        <v>40401882</v>
      </c>
      <c r="C821" s="2" t="str">
        <f>"김민주"</f>
        <v>김민주</v>
      </c>
      <c r="D821" s="2" t="str">
        <f t="shared" si="178"/>
        <v>F</v>
      </c>
      <c r="E821" s="2" t="str">
        <f>"20000227"</f>
        <v>20000227</v>
      </c>
      <c r="F821" s="2" t="str">
        <f>"24"</f>
        <v>24</v>
      </c>
      <c r="G821" s="2" t="str">
        <f t="shared" si="167"/>
        <v>E78660</v>
      </c>
      <c r="H821" s="2" t="str">
        <f t="shared" si="168"/>
        <v>가톨릭대학교 서울성모병원</v>
      </c>
      <c r="I821" s="2" t="str">
        <f t="shared" ref="I821:I826" si="179">"배치전"</f>
        <v>배치전</v>
      </c>
    </row>
    <row r="822" spans="1:9" x14ac:dyDescent="0.3">
      <c r="A822" s="2" t="str">
        <f>"20241231"</f>
        <v>20241231</v>
      </c>
      <c r="B822" s="2" t="str">
        <f>"28981553"</f>
        <v>28981553</v>
      </c>
      <c r="C822" s="2" t="str">
        <f>"최고현"</f>
        <v>최고현</v>
      </c>
      <c r="D822" s="2" t="str">
        <f t="shared" si="178"/>
        <v>F</v>
      </c>
      <c r="E822" s="2" t="str">
        <f>"19920629"</f>
        <v>19920629</v>
      </c>
      <c r="F822" s="2" t="str">
        <f>"32"</f>
        <v>32</v>
      </c>
      <c r="G822" s="2" t="str">
        <f t="shared" si="167"/>
        <v>E78660</v>
      </c>
      <c r="H822" s="2" t="str">
        <f t="shared" si="168"/>
        <v>가톨릭대학교 서울성모병원</v>
      </c>
      <c r="I822" s="2" t="str">
        <f t="shared" si="179"/>
        <v>배치전</v>
      </c>
    </row>
    <row r="823" spans="1:9" x14ac:dyDescent="0.3">
      <c r="A823" s="2" t="str">
        <f>"20241231"</f>
        <v>20241231</v>
      </c>
      <c r="B823" s="2" t="str">
        <f>"35141862"</f>
        <v>35141862</v>
      </c>
      <c r="C823" s="2" t="str">
        <f>"김선"</f>
        <v>김선</v>
      </c>
      <c r="D823" s="2" t="str">
        <f t="shared" si="178"/>
        <v>F</v>
      </c>
      <c r="E823" s="2" t="str">
        <f>"20000512"</f>
        <v>20000512</v>
      </c>
      <c r="F823" s="2" t="str">
        <f>"24"</f>
        <v>24</v>
      </c>
      <c r="G823" s="2" t="str">
        <f t="shared" si="167"/>
        <v>E78660</v>
      </c>
      <c r="H823" s="2" t="str">
        <f t="shared" si="168"/>
        <v>가톨릭대학교 서울성모병원</v>
      </c>
      <c r="I823" s="2" t="str">
        <f t="shared" si="179"/>
        <v>배치전</v>
      </c>
    </row>
    <row r="824" spans="1:9" x14ac:dyDescent="0.3">
      <c r="A824" s="2" t="str">
        <f>"20241231"</f>
        <v>20241231</v>
      </c>
      <c r="B824" s="2" t="str">
        <f>"40357514"</f>
        <v>40357514</v>
      </c>
      <c r="C824" s="2" t="str">
        <f>"윤지원"</f>
        <v>윤지원</v>
      </c>
      <c r="D824" s="2" t="str">
        <f t="shared" si="178"/>
        <v>F</v>
      </c>
      <c r="E824" s="2" t="str">
        <f>"20010309"</f>
        <v>20010309</v>
      </c>
      <c r="F824" s="2" t="str">
        <f>"23"</f>
        <v>23</v>
      </c>
      <c r="G824" s="2" t="str">
        <f t="shared" si="167"/>
        <v>E78660</v>
      </c>
      <c r="H824" s="2" t="str">
        <f t="shared" si="168"/>
        <v>가톨릭대학교 서울성모병원</v>
      </c>
      <c r="I824" s="2" t="str">
        <f t="shared" si="179"/>
        <v>배치전</v>
      </c>
    </row>
    <row r="825" spans="1:9" x14ac:dyDescent="0.3">
      <c r="A825" s="2" t="str">
        <f t="shared" ref="A825:A834" si="180">"20250114"</f>
        <v>20250114</v>
      </c>
      <c r="B825" s="2" t="str">
        <f>"23721841"</f>
        <v>23721841</v>
      </c>
      <c r="C825" s="2" t="str">
        <f>"문유리"</f>
        <v>문유리</v>
      </c>
      <c r="D825" s="2" t="str">
        <f t="shared" si="178"/>
        <v>F</v>
      </c>
      <c r="E825" s="2" t="str">
        <f>"19880805"</f>
        <v>19880805</v>
      </c>
      <c r="F825" s="2" t="str">
        <f>"36"</f>
        <v>36</v>
      </c>
      <c r="G825" s="2" t="str">
        <f t="shared" si="167"/>
        <v>E78660</v>
      </c>
      <c r="H825" s="2" t="str">
        <f t="shared" si="168"/>
        <v>가톨릭대학교 서울성모병원</v>
      </c>
      <c r="I825" s="2" t="str">
        <f t="shared" si="179"/>
        <v>배치전</v>
      </c>
    </row>
    <row r="826" spans="1:9" x14ac:dyDescent="0.3">
      <c r="A826" s="2" t="str">
        <f t="shared" si="180"/>
        <v>20250114</v>
      </c>
      <c r="B826" s="2" t="str">
        <f>"31294175"</f>
        <v>31294175</v>
      </c>
      <c r="C826" s="2" t="str">
        <f>"김소영"</f>
        <v>김소영</v>
      </c>
      <c r="D826" s="2" t="str">
        <f t="shared" si="178"/>
        <v>F</v>
      </c>
      <c r="E826" s="2" t="str">
        <f>"19941006"</f>
        <v>19941006</v>
      </c>
      <c r="F826" s="2" t="str">
        <f>"30"</f>
        <v>30</v>
      </c>
      <c r="G826" s="2" t="str">
        <f t="shared" si="167"/>
        <v>E78660</v>
      </c>
      <c r="H826" s="2" t="str">
        <f t="shared" si="168"/>
        <v>가톨릭대학교 서울성모병원</v>
      </c>
      <c r="I826" s="2" t="str">
        <f t="shared" si="179"/>
        <v>배치전</v>
      </c>
    </row>
    <row r="827" spans="1:9" x14ac:dyDescent="0.3">
      <c r="A827" s="2" t="str">
        <f t="shared" si="180"/>
        <v>20250114</v>
      </c>
      <c r="B827" s="2" t="str">
        <f>"35828603"</f>
        <v>35828603</v>
      </c>
      <c r="C827" s="2" t="str">
        <f>"정윤호"</f>
        <v>정윤호</v>
      </c>
      <c r="D827" s="2" t="str">
        <f>"M"</f>
        <v>M</v>
      </c>
      <c r="E827" s="2" t="str">
        <f>"19951220"</f>
        <v>19951220</v>
      </c>
      <c r="F827" s="2" t="str">
        <f>"29"</f>
        <v>29</v>
      </c>
      <c r="G827" s="2" t="str">
        <f t="shared" si="167"/>
        <v>E78660</v>
      </c>
      <c r="H827" s="2" t="str">
        <f t="shared" si="168"/>
        <v>가톨릭대학교 서울성모병원</v>
      </c>
      <c r="I827" s="2" t="str">
        <f>"배치후"</f>
        <v>배치후</v>
      </c>
    </row>
    <row r="828" spans="1:9" x14ac:dyDescent="0.3">
      <c r="A828" s="2" t="str">
        <f t="shared" si="180"/>
        <v>20250114</v>
      </c>
      <c r="B828" s="2" t="str">
        <f>"39508794"</f>
        <v>39508794</v>
      </c>
      <c r="C828" s="2" t="str">
        <f>"서민주"</f>
        <v>서민주</v>
      </c>
      <c r="D828" s="2" t="str">
        <f>"F"</f>
        <v>F</v>
      </c>
      <c r="E828" s="2" t="str">
        <f>"20000619"</f>
        <v>20000619</v>
      </c>
      <c r="F828" s="2" t="str">
        <f>"24"</f>
        <v>24</v>
      </c>
      <c r="G828" s="2" t="str">
        <f t="shared" si="167"/>
        <v>E78660</v>
      </c>
      <c r="H828" s="2" t="str">
        <f t="shared" si="168"/>
        <v>가톨릭대학교 서울성모병원</v>
      </c>
      <c r="I828" s="2" t="str">
        <f>"배치후"</f>
        <v>배치후</v>
      </c>
    </row>
    <row r="829" spans="1:9" x14ac:dyDescent="0.3">
      <c r="A829" s="2" t="str">
        <f t="shared" si="180"/>
        <v>20250114</v>
      </c>
      <c r="B829" s="2" t="str">
        <f>"40030695"</f>
        <v>40030695</v>
      </c>
      <c r="C829" s="2" t="str">
        <f>"강영희"</f>
        <v>강영희</v>
      </c>
      <c r="D829" s="2" t="str">
        <f>"F"</f>
        <v>F</v>
      </c>
      <c r="E829" s="2" t="str">
        <f>"19930311"</f>
        <v>19930311</v>
      </c>
      <c r="F829" s="2" t="str">
        <f>"31"</f>
        <v>31</v>
      </c>
      <c r="G829" s="2" t="str">
        <f t="shared" si="167"/>
        <v>E78660</v>
      </c>
      <c r="H829" s="2" t="str">
        <f t="shared" si="168"/>
        <v>가톨릭대학교 서울성모병원</v>
      </c>
      <c r="I829" s="2" t="str">
        <f>"배치후"</f>
        <v>배치후</v>
      </c>
    </row>
    <row r="830" spans="1:9" x14ac:dyDescent="0.3">
      <c r="A830" s="2" t="str">
        <f t="shared" si="180"/>
        <v>20250114</v>
      </c>
      <c r="B830" s="2" t="str">
        <f>"40043541"</f>
        <v>40043541</v>
      </c>
      <c r="C830" s="2" t="str">
        <f>"최세음"</f>
        <v>최세음</v>
      </c>
      <c r="D830" s="2" t="str">
        <f>"M"</f>
        <v>M</v>
      </c>
      <c r="E830" s="2" t="str">
        <f>"19980821"</f>
        <v>19980821</v>
      </c>
      <c r="F830" s="2" t="str">
        <f>"26"</f>
        <v>26</v>
      </c>
      <c r="G830" s="2" t="str">
        <f t="shared" si="167"/>
        <v>E78660</v>
      </c>
      <c r="H830" s="2" t="str">
        <f t="shared" si="168"/>
        <v>가톨릭대학교 서울성모병원</v>
      </c>
      <c r="I830" s="2" t="str">
        <f>"배치후"</f>
        <v>배치후</v>
      </c>
    </row>
    <row r="831" spans="1:9" x14ac:dyDescent="0.3">
      <c r="A831" s="2" t="str">
        <f t="shared" si="180"/>
        <v>20250114</v>
      </c>
      <c r="B831" s="2" t="str">
        <f>"40357793"</f>
        <v>40357793</v>
      </c>
      <c r="C831" s="2" t="str">
        <f>"이지민"</f>
        <v>이지민</v>
      </c>
      <c r="D831" s="2" t="str">
        <f>"F"</f>
        <v>F</v>
      </c>
      <c r="E831" s="2" t="str">
        <f>"20020115"</f>
        <v>20020115</v>
      </c>
      <c r="F831" s="2" t="str">
        <f>"23"</f>
        <v>23</v>
      </c>
      <c r="G831" s="2" t="str">
        <f t="shared" si="167"/>
        <v>E78660</v>
      </c>
      <c r="H831" s="2" t="str">
        <f t="shared" si="168"/>
        <v>가톨릭대학교 서울성모병원</v>
      </c>
      <c r="I831" s="2" t="str">
        <f t="shared" ref="I831:I838" si="181">"배치전"</f>
        <v>배치전</v>
      </c>
    </row>
    <row r="832" spans="1:9" x14ac:dyDescent="0.3">
      <c r="A832" s="2" t="str">
        <f t="shared" si="180"/>
        <v>20250114</v>
      </c>
      <c r="B832" s="2" t="str">
        <f>"40581033"</f>
        <v>40581033</v>
      </c>
      <c r="C832" s="2" t="str">
        <f>"오유근"</f>
        <v>오유근</v>
      </c>
      <c r="D832" s="2" t="str">
        <f>"M"</f>
        <v>M</v>
      </c>
      <c r="E832" s="2" t="str">
        <f>"19991001"</f>
        <v>19991001</v>
      </c>
      <c r="F832" s="2" t="str">
        <f>"25"</f>
        <v>25</v>
      </c>
      <c r="G832" s="2" t="str">
        <f t="shared" si="167"/>
        <v>E78660</v>
      </c>
      <c r="H832" s="2" t="str">
        <f t="shared" si="168"/>
        <v>가톨릭대학교 서울성모병원</v>
      </c>
      <c r="I832" s="2" t="str">
        <f t="shared" si="181"/>
        <v>배치전</v>
      </c>
    </row>
    <row r="833" spans="1:9" x14ac:dyDescent="0.3">
      <c r="A833" s="2" t="str">
        <f t="shared" si="180"/>
        <v>20250114</v>
      </c>
      <c r="B833" s="2" t="str">
        <f>"40599892"</f>
        <v>40599892</v>
      </c>
      <c r="C833" s="2" t="str">
        <f>"권지은"</f>
        <v>권지은</v>
      </c>
      <c r="D833" s="2" t="str">
        <f>"F"</f>
        <v>F</v>
      </c>
      <c r="E833" s="2" t="str">
        <f>"19960906"</f>
        <v>19960906</v>
      </c>
      <c r="F833" s="2" t="str">
        <f>"28"</f>
        <v>28</v>
      </c>
      <c r="G833" s="2" t="str">
        <f t="shared" si="167"/>
        <v>E78660</v>
      </c>
      <c r="H833" s="2" t="str">
        <f t="shared" si="168"/>
        <v>가톨릭대학교 서울성모병원</v>
      </c>
      <c r="I833" s="2" t="str">
        <f t="shared" si="181"/>
        <v>배치전</v>
      </c>
    </row>
    <row r="834" spans="1:9" x14ac:dyDescent="0.3">
      <c r="A834" s="2" t="str">
        <f t="shared" si="180"/>
        <v>20250114</v>
      </c>
      <c r="B834" s="2" t="str">
        <f>"40599936"</f>
        <v>40599936</v>
      </c>
      <c r="C834" s="2" t="str">
        <f>"김선주"</f>
        <v>김선주</v>
      </c>
      <c r="D834" s="2" t="str">
        <f>"F"</f>
        <v>F</v>
      </c>
      <c r="E834" s="2" t="str">
        <f>"19951031"</f>
        <v>19951031</v>
      </c>
      <c r="F834" s="2" t="str">
        <f>"29"</f>
        <v>29</v>
      </c>
      <c r="G834" s="2" t="str">
        <f t="shared" si="167"/>
        <v>E78660</v>
      </c>
      <c r="H834" s="2" t="str">
        <f t="shared" si="168"/>
        <v>가톨릭대학교 서울성모병원</v>
      </c>
      <c r="I834" s="2" t="str">
        <f t="shared" si="181"/>
        <v>배치전</v>
      </c>
    </row>
    <row r="835" spans="1:9" x14ac:dyDescent="0.3">
      <c r="A835" s="2" t="str">
        <f t="shared" ref="A835:A846" si="182">"20250115"</f>
        <v>20250115</v>
      </c>
      <c r="B835" s="2" t="str">
        <f>"13395699"</f>
        <v>13395699</v>
      </c>
      <c r="C835" s="2" t="str">
        <f>"방준모"</f>
        <v>방준모</v>
      </c>
      <c r="D835" s="2" t="str">
        <f>"M"</f>
        <v>M</v>
      </c>
      <c r="E835" s="2" t="str">
        <f>"20000614"</f>
        <v>20000614</v>
      </c>
      <c r="F835" s="2" t="str">
        <f>"24"</f>
        <v>24</v>
      </c>
      <c r="G835" s="2" t="str">
        <f t="shared" si="167"/>
        <v>E78660</v>
      </c>
      <c r="H835" s="2" t="str">
        <f t="shared" si="168"/>
        <v>가톨릭대학교 서울성모병원</v>
      </c>
      <c r="I835" s="2" t="str">
        <f t="shared" si="181"/>
        <v>배치전</v>
      </c>
    </row>
    <row r="836" spans="1:9" x14ac:dyDescent="0.3">
      <c r="A836" s="2" t="str">
        <f t="shared" si="182"/>
        <v>20250115</v>
      </c>
      <c r="B836" s="2" t="str">
        <f>"16944408"</f>
        <v>16944408</v>
      </c>
      <c r="C836" s="2" t="str">
        <f>"나현아"</f>
        <v>나현아</v>
      </c>
      <c r="D836" s="2" t="str">
        <f>"F"</f>
        <v>F</v>
      </c>
      <c r="E836" s="2" t="str">
        <f>"19820705"</f>
        <v>19820705</v>
      </c>
      <c r="F836" s="2" t="str">
        <f>"42"</f>
        <v>42</v>
      </c>
      <c r="G836" s="2" t="str">
        <f t="shared" si="167"/>
        <v>E78660</v>
      </c>
      <c r="H836" s="2" t="str">
        <f t="shared" si="168"/>
        <v>가톨릭대학교 서울성모병원</v>
      </c>
      <c r="I836" s="2" t="str">
        <f t="shared" si="181"/>
        <v>배치전</v>
      </c>
    </row>
    <row r="837" spans="1:9" x14ac:dyDescent="0.3">
      <c r="A837" s="2" t="str">
        <f t="shared" si="182"/>
        <v>20250115</v>
      </c>
      <c r="B837" s="2" t="str">
        <f>"32268886"</f>
        <v>32268886</v>
      </c>
      <c r="C837" s="2" t="str">
        <f>"안율"</f>
        <v>안율</v>
      </c>
      <c r="D837" s="2" t="str">
        <f>"F"</f>
        <v>F</v>
      </c>
      <c r="E837" s="2" t="str">
        <f>"19930726"</f>
        <v>19930726</v>
      </c>
      <c r="F837" s="2" t="str">
        <f>"31"</f>
        <v>31</v>
      </c>
      <c r="G837" s="2" t="str">
        <f t="shared" ref="G837:G900" si="183">"E78660"</f>
        <v>E78660</v>
      </c>
      <c r="H837" s="2" t="str">
        <f t="shared" ref="H837:H900" si="184">"가톨릭대학교 서울성모병원"</f>
        <v>가톨릭대학교 서울성모병원</v>
      </c>
      <c r="I837" s="2" t="str">
        <f t="shared" si="181"/>
        <v>배치전</v>
      </c>
    </row>
    <row r="838" spans="1:9" x14ac:dyDescent="0.3">
      <c r="A838" s="2" t="str">
        <f t="shared" si="182"/>
        <v>20250115</v>
      </c>
      <c r="B838" s="2" t="str">
        <f>"34732861"</f>
        <v>34732861</v>
      </c>
      <c r="C838" s="2" t="str">
        <f>"박완식"</f>
        <v>박완식</v>
      </c>
      <c r="D838" s="2" t="str">
        <f>"M"</f>
        <v>M</v>
      </c>
      <c r="E838" s="2" t="str">
        <f>"19941205"</f>
        <v>19941205</v>
      </c>
      <c r="F838" s="2" t="str">
        <f>"30"</f>
        <v>30</v>
      </c>
      <c r="G838" s="2" t="str">
        <f t="shared" si="183"/>
        <v>E78660</v>
      </c>
      <c r="H838" s="2" t="str">
        <f t="shared" si="184"/>
        <v>가톨릭대학교 서울성모병원</v>
      </c>
      <c r="I838" s="2" t="str">
        <f t="shared" si="181"/>
        <v>배치전</v>
      </c>
    </row>
    <row r="839" spans="1:9" x14ac:dyDescent="0.3">
      <c r="A839" s="2" t="str">
        <f t="shared" si="182"/>
        <v>20250115</v>
      </c>
      <c r="B839" s="2" t="str">
        <f>"35114334"</f>
        <v>35114334</v>
      </c>
      <c r="C839" s="2" t="str">
        <f>"송규하"</f>
        <v>송규하</v>
      </c>
      <c r="D839" s="2" t="str">
        <f>"M"</f>
        <v>M</v>
      </c>
      <c r="E839" s="2" t="str">
        <f>"19940729"</f>
        <v>19940729</v>
      </c>
      <c r="F839" s="2" t="str">
        <f>"30"</f>
        <v>30</v>
      </c>
      <c r="G839" s="2" t="str">
        <f t="shared" si="183"/>
        <v>E78660</v>
      </c>
      <c r="H839" s="2" t="str">
        <f t="shared" si="184"/>
        <v>가톨릭대학교 서울성모병원</v>
      </c>
      <c r="I839" s="2" t="str">
        <f>"배치후"</f>
        <v>배치후</v>
      </c>
    </row>
    <row r="840" spans="1:9" x14ac:dyDescent="0.3">
      <c r="A840" s="2" t="str">
        <f t="shared" si="182"/>
        <v>20250115</v>
      </c>
      <c r="B840" s="2" t="str">
        <f>"39508886"</f>
        <v>39508886</v>
      </c>
      <c r="C840" s="2" t="str">
        <f>"서주희"</f>
        <v>서주희</v>
      </c>
      <c r="D840" s="2" t="str">
        <f>"F"</f>
        <v>F</v>
      </c>
      <c r="E840" s="2" t="str">
        <f>"20001208"</f>
        <v>20001208</v>
      </c>
      <c r="F840" s="2" t="str">
        <f>"24"</f>
        <v>24</v>
      </c>
      <c r="G840" s="2" t="str">
        <f t="shared" si="183"/>
        <v>E78660</v>
      </c>
      <c r="H840" s="2" t="str">
        <f t="shared" si="184"/>
        <v>가톨릭대학교 서울성모병원</v>
      </c>
      <c r="I840" s="2" t="str">
        <f>"배치후"</f>
        <v>배치후</v>
      </c>
    </row>
    <row r="841" spans="1:9" x14ac:dyDescent="0.3">
      <c r="A841" s="2" t="str">
        <f t="shared" si="182"/>
        <v>20250115</v>
      </c>
      <c r="B841" s="2" t="str">
        <f>"40468424"</f>
        <v>40468424</v>
      </c>
      <c r="C841" s="2" t="str">
        <f>"박지오"</f>
        <v>박지오</v>
      </c>
      <c r="D841" s="2" t="str">
        <f>"F"</f>
        <v>F</v>
      </c>
      <c r="E841" s="2" t="str">
        <f>"19720113"</f>
        <v>19720113</v>
      </c>
      <c r="F841" s="2" t="str">
        <f>"53"</f>
        <v>53</v>
      </c>
      <c r="G841" s="2" t="str">
        <f t="shared" si="183"/>
        <v>E78660</v>
      </c>
      <c r="H841" s="2" t="str">
        <f t="shared" si="184"/>
        <v>가톨릭대학교 서울성모병원</v>
      </c>
      <c r="I841" s="2" t="str">
        <f>"배치전"</f>
        <v>배치전</v>
      </c>
    </row>
    <row r="842" spans="1:9" x14ac:dyDescent="0.3">
      <c r="A842" s="2" t="str">
        <f t="shared" si="182"/>
        <v>20250115</v>
      </c>
      <c r="B842" s="2" t="str">
        <f>"40517716"</f>
        <v>40517716</v>
      </c>
      <c r="C842" s="2" t="str">
        <f>"안도희"</f>
        <v>안도희</v>
      </c>
      <c r="D842" s="2" t="str">
        <f>"F"</f>
        <v>F</v>
      </c>
      <c r="E842" s="2" t="str">
        <f>"19851029"</f>
        <v>19851029</v>
      </c>
      <c r="F842" s="2" t="str">
        <f>"39"</f>
        <v>39</v>
      </c>
      <c r="G842" s="2" t="str">
        <f t="shared" si="183"/>
        <v>E78660</v>
      </c>
      <c r="H842" s="2" t="str">
        <f t="shared" si="184"/>
        <v>가톨릭대학교 서울성모병원</v>
      </c>
      <c r="I842" s="2" t="str">
        <f>"배치전"</f>
        <v>배치전</v>
      </c>
    </row>
    <row r="843" spans="1:9" x14ac:dyDescent="0.3">
      <c r="A843" s="2" t="str">
        <f t="shared" si="182"/>
        <v>20250115</v>
      </c>
      <c r="B843" s="2" t="str">
        <f>"40517725"</f>
        <v>40517725</v>
      </c>
      <c r="C843" s="2" t="str">
        <f>"박수진"</f>
        <v>박수진</v>
      </c>
      <c r="D843" s="2" t="str">
        <f>"F"</f>
        <v>F</v>
      </c>
      <c r="E843" s="2" t="str">
        <f>"19971216"</f>
        <v>19971216</v>
      </c>
      <c r="F843" s="2" t="str">
        <f>"27"</f>
        <v>27</v>
      </c>
      <c r="G843" s="2" t="str">
        <f t="shared" si="183"/>
        <v>E78660</v>
      </c>
      <c r="H843" s="2" t="str">
        <f t="shared" si="184"/>
        <v>가톨릭대학교 서울성모병원</v>
      </c>
      <c r="I843" s="2" t="str">
        <f>"배치전"</f>
        <v>배치전</v>
      </c>
    </row>
    <row r="844" spans="1:9" x14ac:dyDescent="0.3">
      <c r="A844" s="2" t="str">
        <f t="shared" si="182"/>
        <v>20250115</v>
      </c>
      <c r="B844" s="2" t="str">
        <f>"40611351"</f>
        <v>40611351</v>
      </c>
      <c r="C844" s="2" t="str">
        <f>"백동렬"</f>
        <v>백동렬</v>
      </c>
      <c r="D844" s="2" t="str">
        <f>"M"</f>
        <v>M</v>
      </c>
      <c r="E844" s="2" t="str">
        <f>"19990312"</f>
        <v>19990312</v>
      </c>
      <c r="F844" s="2" t="str">
        <f>"25"</f>
        <v>25</v>
      </c>
      <c r="G844" s="2" t="str">
        <f t="shared" si="183"/>
        <v>E78660</v>
      </c>
      <c r="H844" s="2" t="str">
        <f t="shared" si="184"/>
        <v>가톨릭대학교 서울성모병원</v>
      </c>
      <c r="I844" s="2" t="str">
        <f>"배치전"</f>
        <v>배치전</v>
      </c>
    </row>
    <row r="845" spans="1:9" x14ac:dyDescent="0.3">
      <c r="A845" s="2" t="str">
        <f t="shared" si="182"/>
        <v>20250115</v>
      </c>
      <c r="B845" s="2" t="str">
        <f>"8634652"</f>
        <v>8634652</v>
      </c>
      <c r="C845" s="2" t="str">
        <f>"김현수"</f>
        <v>김현수</v>
      </c>
      <c r="D845" s="2" t="str">
        <f>"F"</f>
        <v>F</v>
      </c>
      <c r="E845" s="2" t="str">
        <f>"19931221"</f>
        <v>19931221</v>
      </c>
      <c r="F845" s="2" t="str">
        <f>"31"</f>
        <v>31</v>
      </c>
      <c r="G845" s="2" t="str">
        <f t="shared" si="183"/>
        <v>E78660</v>
      </c>
      <c r="H845" s="2" t="str">
        <f t="shared" si="184"/>
        <v>가톨릭대학교 서울성모병원</v>
      </c>
      <c r="I845" s="2" t="str">
        <f>"배치후"</f>
        <v>배치후</v>
      </c>
    </row>
    <row r="846" spans="1:9" x14ac:dyDescent="0.3">
      <c r="A846" s="2" t="str">
        <f t="shared" si="182"/>
        <v>20250115</v>
      </c>
      <c r="B846" s="2" t="str">
        <f>"9047358"</f>
        <v>9047358</v>
      </c>
      <c r="C846" s="2" t="str">
        <f>"차명수"</f>
        <v>차명수</v>
      </c>
      <c r="D846" s="2" t="str">
        <f>"M"</f>
        <v>M</v>
      </c>
      <c r="E846" s="2" t="str">
        <f>"19690901"</f>
        <v>19690901</v>
      </c>
      <c r="F846" s="2" t="str">
        <f>"55"</f>
        <v>55</v>
      </c>
      <c r="G846" s="2" t="str">
        <f t="shared" si="183"/>
        <v>E78660</v>
      </c>
      <c r="H846" s="2" t="str">
        <f t="shared" si="184"/>
        <v>가톨릭대학교 서울성모병원</v>
      </c>
      <c r="I846" s="2" t="str">
        <f>"배치후"</f>
        <v>배치후</v>
      </c>
    </row>
    <row r="847" spans="1:9" x14ac:dyDescent="0.3">
      <c r="A847" s="2" t="str">
        <f>"20250121"</f>
        <v>20250121</v>
      </c>
      <c r="B847" s="2" t="str">
        <f>"21390866"</f>
        <v>21390866</v>
      </c>
      <c r="C847" s="2" t="str">
        <f>"김영은"</f>
        <v>김영은</v>
      </c>
      <c r="D847" s="2" t="str">
        <f t="shared" ref="D847:D852" si="185">"F"</f>
        <v>F</v>
      </c>
      <c r="E847" s="2" t="str">
        <f>"19860908"</f>
        <v>19860908</v>
      </c>
      <c r="F847" s="2" t="str">
        <f>"38"</f>
        <v>38</v>
      </c>
      <c r="G847" s="2" t="str">
        <f t="shared" si="183"/>
        <v>E78660</v>
      </c>
      <c r="H847" s="2" t="str">
        <f t="shared" si="184"/>
        <v>가톨릭대학교 서울성모병원</v>
      </c>
      <c r="I847" s="2" t="str">
        <f t="shared" ref="I847:I857" si="186">"배치전"</f>
        <v>배치전</v>
      </c>
    </row>
    <row r="848" spans="1:9" x14ac:dyDescent="0.3">
      <c r="A848" s="2" t="str">
        <f>"20250121"</f>
        <v>20250121</v>
      </c>
      <c r="B848" s="2" t="str">
        <f>"27949814"</f>
        <v>27949814</v>
      </c>
      <c r="C848" s="2" t="str">
        <f>"황지수"</f>
        <v>황지수</v>
      </c>
      <c r="D848" s="2" t="str">
        <f t="shared" si="185"/>
        <v>F</v>
      </c>
      <c r="E848" s="2" t="str">
        <f>"19911104"</f>
        <v>19911104</v>
      </c>
      <c r="F848" s="2" t="str">
        <f>"33"</f>
        <v>33</v>
      </c>
      <c r="G848" s="2" t="str">
        <f t="shared" si="183"/>
        <v>E78660</v>
      </c>
      <c r="H848" s="2" t="str">
        <f t="shared" si="184"/>
        <v>가톨릭대학교 서울성모병원</v>
      </c>
      <c r="I848" s="2" t="str">
        <f t="shared" si="186"/>
        <v>배치전</v>
      </c>
    </row>
    <row r="849" spans="1:9" x14ac:dyDescent="0.3">
      <c r="A849" s="2" t="str">
        <f>"20250121"</f>
        <v>20250121</v>
      </c>
      <c r="B849" s="2" t="str">
        <f>"9767018"</f>
        <v>9767018</v>
      </c>
      <c r="C849" s="2" t="str">
        <f>"김혜민"</f>
        <v>김혜민</v>
      </c>
      <c r="D849" s="2" t="str">
        <f t="shared" si="185"/>
        <v>F</v>
      </c>
      <c r="E849" s="2" t="str">
        <f>"19951007"</f>
        <v>19951007</v>
      </c>
      <c r="F849" s="2" t="str">
        <f>"29"</f>
        <v>29</v>
      </c>
      <c r="G849" s="2" t="str">
        <f t="shared" si="183"/>
        <v>E78660</v>
      </c>
      <c r="H849" s="2" t="str">
        <f t="shared" si="184"/>
        <v>가톨릭대학교 서울성모병원</v>
      </c>
      <c r="I849" s="2" t="str">
        <f t="shared" si="186"/>
        <v>배치전</v>
      </c>
    </row>
    <row r="850" spans="1:9" x14ac:dyDescent="0.3">
      <c r="A850" s="2" t="str">
        <f>"20250122"</f>
        <v>20250122</v>
      </c>
      <c r="B850" s="2" t="str">
        <f>"33448673"</f>
        <v>33448673</v>
      </c>
      <c r="C850" s="2" t="str">
        <f>"조은"</f>
        <v>조은</v>
      </c>
      <c r="D850" s="2" t="str">
        <f t="shared" si="185"/>
        <v>F</v>
      </c>
      <c r="E850" s="2" t="str">
        <f>"20000809"</f>
        <v>20000809</v>
      </c>
      <c r="F850" s="2" t="str">
        <f>"24"</f>
        <v>24</v>
      </c>
      <c r="G850" s="2" t="str">
        <f t="shared" si="183"/>
        <v>E78660</v>
      </c>
      <c r="H850" s="2" t="str">
        <f t="shared" si="184"/>
        <v>가톨릭대학교 서울성모병원</v>
      </c>
      <c r="I850" s="2" t="str">
        <f t="shared" si="186"/>
        <v>배치전</v>
      </c>
    </row>
    <row r="851" spans="1:9" x14ac:dyDescent="0.3">
      <c r="A851" s="2" t="str">
        <f>"20250122"</f>
        <v>20250122</v>
      </c>
      <c r="B851" s="2" t="str">
        <f>"35142251"</f>
        <v>35142251</v>
      </c>
      <c r="C851" s="2" t="str">
        <f>"박정연"</f>
        <v>박정연</v>
      </c>
      <c r="D851" s="2" t="str">
        <f t="shared" si="185"/>
        <v>F</v>
      </c>
      <c r="E851" s="2" t="str">
        <f>"20000606"</f>
        <v>20000606</v>
      </c>
      <c r="F851" s="2" t="str">
        <f>"24"</f>
        <v>24</v>
      </c>
      <c r="G851" s="2" t="str">
        <f t="shared" si="183"/>
        <v>E78660</v>
      </c>
      <c r="H851" s="2" t="str">
        <f t="shared" si="184"/>
        <v>가톨릭대학교 서울성모병원</v>
      </c>
      <c r="I851" s="2" t="str">
        <f t="shared" si="186"/>
        <v>배치전</v>
      </c>
    </row>
    <row r="852" spans="1:9" x14ac:dyDescent="0.3">
      <c r="A852" s="2" t="str">
        <f>"20250122"</f>
        <v>20250122</v>
      </c>
      <c r="B852" s="2" t="str">
        <f>"40440782"</f>
        <v>40440782</v>
      </c>
      <c r="C852" s="2" t="str">
        <f>"김다은"</f>
        <v>김다은</v>
      </c>
      <c r="D852" s="2" t="str">
        <f t="shared" si="185"/>
        <v>F</v>
      </c>
      <c r="E852" s="2" t="str">
        <f>"20001109"</f>
        <v>20001109</v>
      </c>
      <c r="F852" s="2" t="str">
        <f>"24"</f>
        <v>24</v>
      </c>
      <c r="G852" s="2" t="str">
        <f t="shared" si="183"/>
        <v>E78660</v>
      </c>
      <c r="H852" s="2" t="str">
        <f t="shared" si="184"/>
        <v>가톨릭대학교 서울성모병원</v>
      </c>
      <c r="I852" s="2" t="str">
        <f t="shared" si="186"/>
        <v>배치전</v>
      </c>
    </row>
    <row r="853" spans="1:9" x14ac:dyDescent="0.3">
      <c r="A853" s="2" t="str">
        <f>"20250122"</f>
        <v>20250122</v>
      </c>
      <c r="B853" s="2" t="str">
        <f>"40581044"</f>
        <v>40581044</v>
      </c>
      <c r="C853" s="2" t="str">
        <f>"이승현"</f>
        <v>이승현</v>
      </c>
      <c r="D853" s="2" t="str">
        <f>"M"</f>
        <v>M</v>
      </c>
      <c r="E853" s="2" t="str">
        <f>"20000113"</f>
        <v>20000113</v>
      </c>
      <c r="F853" s="2" t="str">
        <f>"25"</f>
        <v>25</v>
      </c>
      <c r="G853" s="2" t="str">
        <f t="shared" si="183"/>
        <v>E78660</v>
      </c>
      <c r="H853" s="2" t="str">
        <f t="shared" si="184"/>
        <v>가톨릭대학교 서울성모병원</v>
      </c>
      <c r="I853" s="2" t="str">
        <f t="shared" si="186"/>
        <v>배치전</v>
      </c>
    </row>
    <row r="854" spans="1:9" x14ac:dyDescent="0.3">
      <c r="A854" s="2" t="str">
        <f t="shared" ref="A854:A862" si="187">"20250218"</f>
        <v>20250218</v>
      </c>
      <c r="B854" s="2" t="str">
        <f>"11307697"</f>
        <v>11307697</v>
      </c>
      <c r="C854" s="2" t="str">
        <f>"오수연"</f>
        <v>오수연</v>
      </c>
      <c r="D854" s="2" t="str">
        <f>"F"</f>
        <v>F</v>
      </c>
      <c r="E854" s="2" t="str">
        <f>"19980113"</f>
        <v>19980113</v>
      </c>
      <c r="F854" s="2" t="str">
        <f>"27"</f>
        <v>27</v>
      </c>
      <c r="G854" s="2" t="str">
        <f t="shared" si="183"/>
        <v>E78660</v>
      </c>
      <c r="H854" s="2" t="str">
        <f t="shared" si="184"/>
        <v>가톨릭대학교 서울성모병원</v>
      </c>
      <c r="I854" s="2" t="str">
        <f t="shared" si="186"/>
        <v>배치전</v>
      </c>
    </row>
    <row r="855" spans="1:9" x14ac:dyDescent="0.3">
      <c r="A855" s="2" t="str">
        <f t="shared" si="187"/>
        <v>20250218</v>
      </c>
      <c r="B855" s="2" t="str">
        <f>"25088304"</f>
        <v>25088304</v>
      </c>
      <c r="C855" s="2" t="str">
        <f>"백주영"</f>
        <v>백주영</v>
      </c>
      <c r="D855" s="2" t="str">
        <f>"M"</f>
        <v>M</v>
      </c>
      <c r="E855" s="2" t="str">
        <f>"19870814"</f>
        <v>19870814</v>
      </c>
      <c r="F855" s="2" t="str">
        <f>"37"</f>
        <v>37</v>
      </c>
      <c r="G855" s="2" t="str">
        <f t="shared" si="183"/>
        <v>E78660</v>
      </c>
      <c r="H855" s="2" t="str">
        <f t="shared" si="184"/>
        <v>가톨릭대학교 서울성모병원</v>
      </c>
      <c r="I855" s="2" t="str">
        <f t="shared" si="186"/>
        <v>배치전</v>
      </c>
    </row>
    <row r="856" spans="1:9" x14ac:dyDescent="0.3">
      <c r="A856" s="2" t="str">
        <f t="shared" si="187"/>
        <v>20250218</v>
      </c>
      <c r="B856" s="2" t="str">
        <f>"34784302"</f>
        <v>34784302</v>
      </c>
      <c r="C856" s="2" t="str">
        <f>"허지원"</f>
        <v>허지원</v>
      </c>
      <c r="D856" s="2" t="str">
        <f>"M"</f>
        <v>M</v>
      </c>
      <c r="E856" s="2" t="str">
        <f>"19950624"</f>
        <v>19950624</v>
      </c>
      <c r="F856" s="2" t="str">
        <f>"29"</f>
        <v>29</v>
      </c>
      <c r="G856" s="2" t="str">
        <f t="shared" si="183"/>
        <v>E78660</v>
      </c>
      <c r="H856" s="2" t="str">
        <f t="shared" si="184"/>
        <v>가톨릭대학교 서울성모병원</v>
      </c>
      <c r="I856" s="2" t="str">
        <f t="shared" si="186"/>
        <v>배치전</v>
      </c>
    </row>
    <row r="857" spans="1:9" x14ac:dyDescent="0.3">
      <c r="A857" s="2" t="str">
        <f t="shared" si="187"/>
        <v>20250218</v>
      </c>
      <c r="B857" s="2" t="str">
        <f>"34848580"</f>
        <v>34848580</v>
      </c>
      <c r="C857" s="2" t="str">
        <f>"권한슬"</f>
        <v>권한슬</v>
      </c>
      <c r="D857" s="2" t="str">
        <f>"F"</f>
        <v>F</v>
      </c>
      <c r="E857" s="2" t="str">
        <f>"19970428"</f>
        <v>19970428</v>
      </c>
      <c r="F857" s="2" t="str">
        <f>"27"</f>
        <v>27</v>
      </c>
      <c r="G857" s="2" t="str">
        <f t="shared" si="183"/>
        <v>E78660</v>
      </c>
      <c r="H857" s="2" t="str">
        <f t="shared" si="184"/>
        <v>가톨릭대학교 서울성모병원</v>
      </c>
      <c r="I857" s="2" t="str">
        <f t="shared" si="186"/>
        <v>배치전</v>
      </c>
    </row>
    <row r="858" spans="1:9" x14ac:dyDescent="0.3">
      <c r="A858" s="2" t="str">
        <f t="shared" si="187"/>
        <v>20250218</v>
      </c>
      <c r="B858" s="2" t="str">
        <f>"39712861"</f>
        <v>39712861</v>
      </c>
      <c r="C858" s="2" t="str">
        <f>"임현경"</f>
        <v>임현경</v>
      </c>
      <c r="D858" s="2" t="str">
        <f>"F"</f>
        <v>F</v>
      </c>
      <c r="E858" s="2" t="str">
        <f>"20010109"</f>
        <v>20010109</v>
      </c>
      <c r="F858" s="2" t="str">
        <f>"24"</f>
        <v>24</v>
      </c>
      <c r="G858" s="2" t="str">
        <f t="shared" si="183"/>
        <v>E78660</v>
      </c>
      <c r="H858" s="2" t="str">
        <f t="shared" si="184"/>
        <v>가톨릭대학교 서울성모병원</v>
      </c>
      <c r="I858" s="2" t="str">
        <f>"배치후"</f>
        <v>배치후</v>
      </c>
    </row>
    <row r="859" spans="1:9" x14ac:dyDescent="0.3">
      <c r="A859" s="2" t="str">
        <f t="shared" si="187"/>
        <v>20250218</v>
      </c>
      <c r="B859" s="2" t="str">
        <f>"40035904"</f>
        <v>40035904</v>
      </c>
      <c r="C859" s="2" t="str">
        <f>"이영규"</f>
        <v>이영규</v>
      </c>
      <c r="D859" s="2" t="str">
        <f>"M"</f>
        <v>M</v>
      </c>
      <c r="E859" s="2" t="str">
        <f>"19970122"</f>
        <v>19970122</v>
      </c>
      <c r="F859" s="2" t="str">
        <f>"28"</f>
        <v>28</v>
      </c>
      <c r="G859" s="2" t="str">
        <f t="shared" si="183"/>
        <v>E78660</v>
      </c>
      <c r="H859" s="2" t="str">
        <f t="shared" si="184"/>
        <v>가톨릭대학교 서울성모병원</v>
      </c>
      <c r="I859" s="2" t="str">
        <f>"배치후"</f>
        <v>배치후</v>
      </c>
    </row>
    <row r="860" spans="1:9" x14ac:dyDescent="0.3">
      <c r="A860" s="2" t="str">
        <f t="shared" si="187"/>
        <v>20250218</v>
      </c>
      <c r="B860" s="2" t="str">
        <f>"40125995"</f>
        <v>40125995</v>
      </c>
      <c r="C860" s="2" t="str">
        <f>"유지영"</f>
        <v>유지영</v>
      </c>
      <c r="D860" s="2" t="str">
        <f>"F"</f>
        <v>F</v>
      </c>
      <c r="E860" s="2" t="str">
        <f>"20000428"</f>
        <v>20000428</v>
      </c>
      <c r="F860" s="2" t="str">
        <f>"24"</f>
        <v>24</v>
      </c>
      <c r="G860" s="2" t="str">
        <f t="shared" si="183"/>
        <v>E78660</v>
      </c>
      <c r="H860" s="2" t="str">
        <f t="shared" si="184"/>
        <v>가톨릭대학교 서울성모병원</v>
      </c>
      <c r="I860" s="2" t="str">
        <f>"배치후"</f>
        <v>배치후</v>
      </c>
    </row>
    <row r="861" spans="1:9" x14ac:dyDescent="0.3">
      <c r="A861" s="2" t="str">
        <f t="shared" si="187"/>
        <v>20250218</v>
      </c>
      <c r="B861" s="2" t="str">
        <f>"40689302"</f>
        <v>40689302</v>
      </c>
      <c r="C861" s="2" t="str">
        <f>"박윤경"</f>
        <v>박윤경</v>
      </c>
      <c r="D861" s="2" t="str">
        <f>"F"</f>
        <v>F</v>
      </c>
      <c r="E861" s="2" t="str">
        <f>"19951214"</f>
        <v>19951214</v>
      </c>
      <c r="F861" s="2" t="str">
        <f>"29"</f>
        <v>29</v>
      </c>
      <c r="G861" s="2" t="str">
        <f t="shared" si="183"/>
        <v>E78660</v>
      </c>
      <c r="H861" s="2" t="str">
        <f t="shared" si="184"/>
        <v>가톨릭대학교 서울성모병원</v>
      </c>
      <c r="I861" s="2" t="str">
        <f>"배치전"</f>
        <v>배치전</v>
      </c>
    </row>
    <row r="862" spans="1:9" x14ac:dyDescent="0.3">
      <c r="A862" s="2" t="str">
        <f t="shared" si="187"/>
        <v>20250218</v>
      </c>
      <c r="B862" s="2" t="str">
        <f>"40689345"</f>
        <v>40689345</v>
      </c>
      <c r="C862" s="2" t="str">
        <f>"임세희"</f>
        <v>임세희</v>
      </c>
      <c r="D862" s="2" t="str">
        <f>"F"</f>
        <v>F</v>
      </c>
      <c r="E862" s="2" t="str">
        <f>"20000131"</f>
        <v>20000131</v>
      </c>
      <c r="F862" s="2" t="str">
        <f>"25"</f>
        <v>25</v>
      </c>
      <c r="G862" s="2" t="str">
        <f t="shared" si="183"/>
        <v>E78660</v>
      </c>
      <c r="H862" s="2" t="str">
        <f t="shared" si="184"/>
        <v>가톨릭대학교 서울성모병원</v>
      </c>
      <c r="I862" s="2" t="str">
        <f>"배치전"</f>
        <v>배치전</v>
      </c>
    </row>
    <row r="863" spans="1:9" x14ac:dyDescent="0.3">
      <c r="A863" s="2" t="str">
        <f t="shared" ref="A863:A872" si="188">"20250219"</f>
        <v>20250219</v>
      </c>
      <c r="B863" s="2" t="str">
        <f>"33857754"</f>
        <v>33857754</v>
      </c>
      <c r="C863" s="2" t="str">
        <f>"안진수"</f>
        <v>안진수</v>
      </c>
      <c r="D863" s="2" t="str">
        <f>"M"</f>
        <v>M</v>
      </c>
      <c r="E863" s="2" t="str">
        <f>"19930806"</f>
        <v>19930806</v>
      </c>
      <c r="F863" s="2" t="str">
        <f>"31"</f>
        <v>31</v>
      </c>
      <c r="G863" s="2" t="str">
        <f t="shared" si="183"/>
        <v>E78660</v>
      </c>
      <c r="H863" s="2" t="str">
        <f t="shared" si="184"/>
        <v>가톨릭대학교 서울성모병원</v>
      </c>
      <c r="I863" s="2" t="str">
        <f>"배치후"</f>
        <v>배치후</v>
      </c>
    </row>
    <row r="864" spans="1:9" x14ac:dyDescent="0.3">
      <c r="A864" s="2" t="str">
        <f t="shared" si="188"/>
        <v>20250219</v>
      </c>
      <c r="B864" s="2" t="str">
        <f>"38287136"</f>
        <v>38287136</v>
      </c>
      <c r="C864" s="2" t="str">
        <f>"박지민"</f>
        <v>박지민</v>
      </c>
      <c r="D864" s="2" t="str">
        <f>"F"</f>
        <v>F</v>
      </c>
      <c r="E864" s="2" t="str">
        <f>"19960805"</f>
        <v>19960805</v>
      </c>
      <c r="F864" s="2" t="str">
        <f>"28"</f>
        <v>28</v>
      </c>
      <c r="G864" s="2" t="str">
        <f t="shared" si="183"/>
        <v>E78660</v>
      </c>
      <c r="H864" s="2" t="str">
        <f t="shared" si="184"/>
        <v>가톨릭대학교 서울성모병원</v>
      </c>
      <c r="I864" s="2" t="str">
        <f>"배치전"</f>
        <v>배치전</v>
      </c>
    </row>
    <row r="865" spans="1:9" x14ac:dyDescent="0.3">
      <c r="A865" s="2" t="str">
        <f t="shared" si="188"/>
        <v>20250219</v>
      </c>
      <c r="B865" s="2" t="str">
        <f>"40134312"</f>
        <v>40134312</v>
      </c>
      <c r="C865" s="2" t="str">
        <f>"김용호"</f>
        <v>김용호</v>
      </c>
      <c r="D865" s="2" t="str">
        <f>"M"</f>
        <v>M</v>
      </c>
      <c r="E865" s="2" t="str">
        <f>"19950128"</f>
        <v>19950128</v>
      </c>
      <c r="F865" s="2" t="str">
        <f>"30"</f>
        <v>30</v>
      </c>
      <c r="G865" s="2" t="str">
        <f t="shared" si="183"/>
        <v>E78660</v>
      </c>
      <c r="H865" s="2" t="str">
        <f t="shared" si="184"/>
        <v>가톨릭대학교 서울성모병원</v>
      </c>
      <c r="I865" s="2" t="str">
        <f>"배치후"</f>
        <v>배치후</v>
      </c>
    </row>
    <row r="866" spans="1:9" x14ac:dyDescent="0.3">
      <c r="A866" s="2" t="str">
        <f t="shared" si="188"/>
        <v>20250219</v>
      </c>
      <c r="B866" s="2" t="str">
        <f>"40307666"</f>
        <v>40307666</v>
      </c>
      <c r="C866" s="2" t="str">
        <f>"이병헌"</f>
        <v>이병헌</v>
      </c>
      <c r="D866" s="2" t="str">
        <f>"M"</f>
        <v>M</v>
      </c>
      <c r="E866" s="2" t="str">
        <f>"19990918"</f>
        <v>19990918</v>
      </c>
      <c r="F866" s="2" t="str">
        <f>"25"</f>
        <v>25</v>
      </c>
      <c r="G866" s="2" t="str">
        <f t="shared" si="183"/>
        <v>E78660</v>
      </c>
      <c r="H866" s="2" t="str">
        <f t="shared" si="184"/>
        <v>가톨릭대학교 서울성모병원</v>
      </c>
      <c r="I866" s="2" t="str">
        <f t="shared" ref="I866:I872" si="189">"배치전"</f>
        <v>배치전</v>
      </c>
    </row>
    <row r="867" spans="1:9" x14ac:dyDescent="0.3">
      <c r="A867" s="2" t="str">
        <f t="shared" si="188"/>
        <v>20250219</v>
      </c>
      <c r="B867" s="2" t="str">
        <f>"40606291"</f>
        <v>40606291</v>
      </c>
      <c r="C867" s="2" t="str">
        <f>"남승현"</f>
        <v>남승현</v>
      </c>
      <c r="D867" s="2" t="str">
        <f>"F"</f>
        <v>F</v>
      </c>
      <c r="E867" s="2" t="str">
        <f>"19981031"</f>
        <v>19981031</v>
      </c>
      <c r="F867" s="2" t="str">
        <f>"26"</f>
        <v>26</v>
      </c>
      <c r="G867" s="2" t="str">
        <f t="shared" si="183"/>
        <v>E78660</v>
      </c>
      <c r="H867" s="2" t="str">
        <f t="shared" si="184"/>
        <v>가톨릭대학교 서울성모병원</v>
      </c>
      <c r="I867" s="2" t="str">
        <f t="shared" si="189"/>
        <v>배치전</v>
      </c>
    </row>
    <row r="868" spans="1:9" x14ac:dyDescent="0.3">
      <c r="A868" s="2" t="str">
        <f t="shared" si="188"/>
        <v>20250219</v>
      </c>
      <c r="B868" s="2" t="str">
        <f>"40682110"</f>
        <v>40682110</v>
      </c>
      <c r="C868" s="2" t="str">
        <f>"김우현"</f>
        <v>김우현</v>
      </c>
      <c r="D868" s="2" t="str">
        <f>"M"</f>
        <v>M</v>
      </c>
      <c r="E868" s="2" t="str">
        <f>"19920922"</f>
        <v>19920922</v>
      </c>
      <c r="F868" s="2" t="str">
        <f>"32"</f>
        <v>32</v>
      </c>
      <c r="G868" s="2" t="str">
        <f t="shared" si="183"/>
        <v>E78660</v>
      </c>
      <c r="H868" s="2" t="str">
        <f t="shared" si="184"/>
        <v>가톨릭대학교 서울성모병원</v>
      </c>
      <c r="I868" s="2" t="str">
        <f t="shared" si="189"/>
        <v>배치전</v>
      </c>
    </row>
    <row r="869" spans="1:9" x14ac:dyDescent="0.3">
      <c r="A869" s="2" t="str">
        <f t="shared" si="188"/>
        <v>20250219</v>
      </c>
      <c r="B869" s="2" t="str">
        <f>"40682121"</f>
        <v>40682121</v>
      </c>
      <c r="C869" s="2" t="str">
        <f>"박성수"</f>
        <v>박성수</v>
      </c>
      <c r="D869" s="2" t="str">
        <f>"M"</f>
        <v>M</v>
      </c>
      <c r="E869" s="2" t="str">
        <f>"19960424"</f>
        <v>19960424</v>
      </c>
      <c r="F869" s="2" t="str">
        <f>"28"</f>
        <v>28</v>
      </c>
      <c r="G869" s="2" t="str">
        <f t="shared" si="183"/>
        <v>E78660</v>
      </c>
      <c r="H869" s="2" t="str">
        <f t="shared" si="184"/>
        <v>가톨릭대학교 서울성모병원</v>
      </c>
      <c r="I869" s="2" t="str">
        <f t="shared" si="189"/>
        <v>배치전</v>
      </c>
    </row>
    <row r="870" spans="1:9" x14ac:dyDescent="0.3">
      <c r="A870" s="2" t="str">
        <f t="shared" si="188"/>
        <v>20250219</v>
      </c>
      <c r="B870" s="2" t="str">
        <f>"40682143"</f>
        <v>40682143</v>
      </c>
      <c r="C870" s="2" t="str">
        <f>"김석찬"</f>
        <v>김석찬</v>
      </c>
      <c r="D870" s="2" t="str">
        <f>"M"</f>
        <v>M</v>
      </c>
      <c r="E870" s="2" t="str">
        <f>"19950217"</f>
        <v>19950217</v>
      </c>
      <c r="F870" s="2" t="str">
        <f>"30"</f>
        <v>30</v>
      </c>
      <c r="G870" s="2" t="str">
        <f t="shared" si="183"/>
        <v>E78660</v>
      </c>
      <c r="H870" s="2" t="str">
        <f t="shared" si="184"/>
        <v>가톨릭대학교 서울성모병원</v>
      </c>
      <c r="I870" s="2" t="str">
        <f t="shared" si="189"/>
        <v>배치전</v>
      </c>
    </row>
    <row r="871" spans="1:9" x14ac:dyDescent="0.3">
      <c r="A871" s="2" t="str">
        <f t="shared" si="188"/>
        <v>20250219</v>
      </c>
      <c r="B871" s="2" t="str">
        <f>"40682154"</f>
        <v>40682154</v>
      </c>
      <c r="C871" s="2" t="str">
        <f>"임현종"</f>
        <v>임현종</v>
      </c>
      <c r="D871" s="2" t="str">
        <f>"M"</f>
        <v>M</v>
      </c>
      <c r="E871" s="2" t="str">
        <f>"19991212"</f>
        <v>19991212</v>
      </c>
      <c r="F871" s="2" t="str">
        <f>"25"</f>
        <v>25</v>
      </c>
      <c r="G871" s="2" t="str">
        <f t="shared" si="183"/>
        <v>E78660</v>
      </c>
      <c r="H871" s="2" t="str">
        <f t="shared" si="184"/>
        <v>가톨릭대학교 서울성모병원</v>
      </c>
      <c r="I871" s="2" t="str">
        <f t="shared" si="189"/>
        <v>배치전</v>
      </c>
    </row>
    <row r="872" spans="1:9" x14ac:dyDescent="0.3">
      <c r="A872" s="2" t="str">
        <f t="shared" si="188"/>
        <v>20250219</v>
      </c>
      <c r="B872" s="2" t="str">
        <f>"40685673"</f>
        <v>40685673</v>
      </c>
      <c r="C872" s="2" t="str">
        <f>"이은솔"</f>
        <v>이은솔</v>
      </c>
      <c r="D872" s="2" t="str">
        <f t="shared" ref="D872:D881" si="190">"F"</f>
        <v>F</v>
      </c>
      <c r="E872" s="2" t="str">
        <f>"19971207"</f>
        <v>19971207</v>
      </c>
      <c r="F872" s="2" t="str">
        <f>"27"</f>
        <v>27</v>
      </c>
      <c r="G872" s="2" t="str">
        <f t="shared" si="183"/>
        <v>E78660</v>
      </c>
      <c r="H872" s="2" t="str">
        <f t="shared" si="184"/>
        <v>가톨릭대학교 서울성모병원</v>
      </c>
      <c r="I872" s="2" t="str">
        <f t="shared" si="189"/>
        <v>배치전</v>
      </c>
    </row>
    <row r="873" spans="1:9" x14ac:dyDescent="0.3">
      <c r="A873" s="2" t="str">
        <f>"20250225"</f>
        <v>20250225</v>
      </c>
      <c r="B873" s="2" t="str">
        <f>"39726004"</f>
        <v>39726004</v>
      </c>
      <c r="C873" s="2" t="str">
        <f>"송유진"</f>
        <v>송유진</v>
      </c>
      <c r="D873" s="2" t="str">
        <f t="shared" si="190"/>
        <v>F</v>
      </c>
      <c r="E873" s="2" t="str">
        <f>"20000925"</f>
        <v>20000925</v>
      </c>
      <c r="F873" s="2" t="str">
        <f>"24"</f>
        <v>24</v>
      </c>
      <c r="G873" s="2" t="str">
        <f t="shared" si="183"/>
        <v>E78660</v>
      </c>
      <c r="H873" s="2" t="str">
        <f t="shared" si="184"/>
        <v>가톨릭대학교 서울성모병원</v>
      </c>
      <c r="I873" s="2" t="str">
        <f>"배치후"</f>
        <v>배치후</v>
      </c>
    </row>
    <row r="874" spans="1:9" x14ac:dyDescent="0.3">
      <c r="A874" s="2" t="str">
        <f>"20250226"</f>
        <v>20250226</v>
      </c>
      <c r="B874" s="2" t="str">
        <f>"23761924"</f>
        <v>23761924</v>
      </c>
      <c r="C874" s="2" t="str">
        <f>"최이슬"</f>
        <v>최이슬</v>
      </c>
      <c r="D874" s="2" t="str">
        <f t="shared" si="190"/>
        <v>F</v>
      </c>
      <c r="E874" s="2" t="str">
        <f>"19891015"</f>
        <v>19891015</v>
      </c>
      <c r="F874" s="2" t="str">
        <f>"35"</f>
        <v>35</v>
      </c>
      <c r="G874" s="2" t="str">
        <f t="shared" si="183"/>
        <v>E78660</v>
      </c>
      <c r="H874" s="2" t="str">
        <f t="shared" si="184"/>
        <v>가톨릭대학교 서울성모병원</v>
      </c>
      <c r="I874" s="2" t="str">
        <f>"배치전"</f>
        <v>배치전</v>
      </c>
    </row>
    <row r="875" spans="1:9" x14ac:dyDescent="0.3">
      <c r="A875" s="2" t="str">
        <f>"20250226"</f>
        <v>20250226</v>
      </c>
      <c r="B875" s="2" t="str">
        <f>"27160611"</f>
        <v>27160611</v>
      </c>
      <c r="C875" s="2" t="str">
        <f>"전윤정"</f>
        <v>전윤정</v>
      </c>
      <c r="D875" s="2" t="str">
        <f t="shared" si="190"/>
        <v>F</v>
      </c>
      <c r="E875" s="2" t="str">
        <f>"19900623"</f>
        <v>19900623</v>
      </c>
      <c r="F875" s="2" t="str">
        <f>"34"</f>
        <v>34</v>
      </c>
      <c r="G875" s="2" t="str">
        <f t="shared" si="183"/>
        <v>E78660</v>
      </c>
      <c r="H875" s="2" t="str">
        <f t="shared" si="184"/>
        <v>가톨릭대학교 서울성모병원</v>
      </c>
      <c r="I875" s="2" t="str">
        <f>"배치전"</f>
        <v>배치전</v>
      </c>
    </row>
    <row r="876" spans="1:9" x14ac:dyDescent="0.3">
      <c r="A876" s="2" t="str">
        <f>"20250226"</f>
        <v>20250226</v>
      </c>
      <c r="B876" s="2" t="str">
        <f>"39712892"</f>
        <v>39712892</v>
      </c>
      <c r="C876" s="2" t="str">
        <f>"박주원"</f>
        <v>박주원</v>
      </c>
      <c r="D876" s="2" t="str">
        <f t="shared" si="190"/>
        <v>F</v>
      </c>
      <c r="E876" s="2" t="str">
        <f>"20000628"</f>
        <v>20000628</v>
      </c>
      <c r="F876" s="2" t="str">
        <f>"24"</f>
        <v>24</v>
      </c>
      <c r="G876" s="2" t="str">
        <f t="shared" si="183"/>
        <v>E78660</v>
      </c>
      <c r="H876" s="2" t="str">
        <f t="shared" si="184"/>
        <v>가톨릭대학교 서울성모병원</v>
      </c>
      <c r="I876" s="2" t="str">
        <f>"배치후"</f>
        <v>배치후</v>
      </c>
    </row>
    <row r="877" spans="1:9" x14ac:dyDescent="0.3">
      <c r="A877" s="2" t="str">
        <f t="shared" ref="A877:A884" si="191">"20250318"</f>
        <v>20250318</v>
      </c>
      <c r="B877" s="2" t="str">
        <f>"34293431"</f>
        <v>34293431</v>
      </c>
      <c r="C877" s="2" t="str">
        <f>"정선경"</f>
        <v>정선경</v>
      </c>
      <c r="D877" s="2" t="str">
        <f t="shared" si="190"/>
        <v>F</v>
      </c>
      <c r="E877" s="2" t="str">
        <f>"19960428"</f>
        <v>19960428</v>
      </c>
      <c r="F877" s="2" t="str">
        <f>"28"</f>
        <v>28</v>
      </c>
      <c r="G877" s="2" t="str">
        <f t="shared" si="183"/>
        <v>E78660</v>
      </c>
      <c r="H877" s="2" t="str">
        <f t="shared" si="184"/>
        <v>가톨릭대학교 서울성모병원</v>
      </c>
      <c r="I877" s="2" t="str">
        <f>"배치전"</f>
        <v>배치전</v>
      </c>
    </row>
    <row r="878" spans="1:9" x14ac:dyDescent="0.3">
      <c r="A878" s="2" t="str">
        <f t="shared" si="191"/>
        <v>20250318</v>
      </c>
      <c r="B878" s="2" t="str">
        <f>"40291252"</f>
        <v>40291252</v>
      </c>
      <c r="C878" s="2" t="str">
        <f>"황수아"</f>
        <v>황수아</v>
      </c>
      <c r="D878" s="2" t="str">
        <f t="shared" si="190"/>
        <v>F</v>
      </c>
      <c r="E878" s="2" t="str">
        <f>"19980926"</f>
        <v>19980926</v>
      </c>
      <c r="F878" s="2" t="str">
        <f>"26"</f>
        <v>26</v>
      </c>
      <c r="G878" s="2" t="str">
        <f t="shared" si="183"/>
        <v>E78660</v>
      </c>
      <c r="H878" s="2" t="str">
        <f t="shared" si="184"/>
        <v>가톨릭대학교 서울성모병원</v>
      </c>
      <c r="I878" s="2" t="str">
        <f>"배치후"</f>
        <v>배치후</v>
      </c>
    </row>
    <row r="879" spans="1:9" x14ac:dyDescent="0.3">
      <c r="A879" s="2" t="str">
        <f t="shared" si="191"/>
        <v>20250318</v>
      </c>
      <c r="B879" s="2" t="str">
        <f>"40648324"</f>
        <v>40648324</v>
      </c>
      <c r="C879" s="2" t="str">
        <f>"고유리"</f>
        <v>고유리</v>
      </c>
      <c r="D879" s="2" t="str">
        <f t="shared" si="190"/>
        <v>F</v>
      </c>
      <c r="E879" s="2" t="str">
        <f>"19981124"</f>
        <v>19981124</v>
      </c>
      <c r="F879" s="2" t="str">
        <f>"26"</f>
        <v>26</v>
      </c>
      <c r="G879" s="2" t="str">
        <f t="shared" si="183"/>
        <v>E78660</v>
      </c>
      <c r="H879" s="2" t="str">
        <f t="shared" si="184"/>
        <v>가톨릭대학교 서울성모병원</v>
      </c>
      <c r="I879" s="2" t="str">
        <f t="shared" ref="I879:I884" si="192">"배치전"</f>
        <v>배치전</v>
      </c>
    </row>
    <row r="880" spans="1:9" x14ac:dyDescent="0.3">
      <c r="A880" s="2" t="str">
        <f t="shared" si="191"/>
        <v>20250318</v>
      </c>
      <c r="B880" s="2" t="str">
        <f>"40760280"</f>
        <v>40760280</v>
      </c>
      <c r="C880" s="2" t="str">
        <f>"김예리"</f>
        <v>김예리</v>
      </c>
      <c r="D880" s="2" t="str">
        <f t="shared" si="190"/>
        <v>F</v>
      </c>
      <c r="E880" s="2" t="str">
        <f>"19951101"</f>
        <v>19951101</v>
      </c>
      <c r="F880" s="2" t="str">
        <f>"29"</f>
        <v>29</v>
      </c>
      <c r="G880" s="2" t="str">
        <f t="shared" si="183"/>
        <v>E78660</v>
      </c>
      <c r="H880" s="2" t="str">
        <f t="shared" si="184"/>
        <v>가톨릭대학교 서울성모병원</v>
      </c>
      <c r="I880" s="2" t="str">
        <f t="shared" si="192"/>
        <v>배치전</v>
      </c>
    </row>
    <row r="881" spans="1:9" x14ac:dyDescent="0.3">
      <c r="A881" s="2" t="str">
        <f t="shared" si="191"/>
        <v>20250318</v>
      </c>
      <c r="B881" s="2" t="str">
        <f>"40760351"</f>
        <v>40760351</v>
      </c>
      <c r="C881" s="2" t="str">
        <f>"정유진"</f>
        <v>정유진</v>
      </c>
      <c r="D881" s="2" t="str">
        <f t="shared" si="190"/>
        <v>F</v>
      </c>
      <c r="E881" s="2" t="str">
        <f>"19861229"</f>
        <v>19861229</v>
      </c>
      <c r="F881" s="2" t="str">
        <f>"38"</f>
        <v>38</v>
      </c>
      <c r="G881" s="2" t="str">
        <f t="shared" si="183"/>
        <v>E78660</v>
      </c>
      <c r="H881" s="2" t="str">
        <f t="shared" si="184"/>
        <v>가톨릭대학교 서울성모병원</v>
      </c>
      <c r="I881" s="2" t="str">
        <f t="shared" si="192"/>
        <v>배치전</v>
      </c>
    </row>
    <row r="882" spans="1:9" x14ac:dyDescent="0.3">
      <c r="A882" s="2" t="str">
        <f t="shared" si="191"/>
        <v>20250318</v>
      </c>
      <c r="B882" s="2" t="str">
        <f>"40763282"</f>
        <v>40763282</v>
      </c>
      <c r="C882" s="2" t="str">
        <f>"고명재"</f>
        <v>고명재</v>
      </c>
      <c r="D882" s="2" t="str">
        <f>"M"</f>
        <v>M</v>
      </c>
      <c r="E882" s="2" t="str">
        <f>"19970224"</f>
        <v>19970224</v>
      </c>
      <c r="F882" s="2" t="str">
        <f>"28"</f>
        <v>28</v>
      </c>
      <c r="G882" s="2" t="str">
        <f t="shared" si="183"/>
        <v>E78660</v>
      </c>
      <c r="H882" s="2" t="str">
        <f t="shared" si="184"/>
        <v>가톨릭대학교 서울성모병원</v>
      </c>
      <c r="I882" s="2" t="str">
        <f t="shared" si="192"/>
        <v>배치전</v>
      </c>
    </row>
    <row r="883" spans="1:9" x14ac:dyDescent="0.3">
      <c r="A883" s="2" t="str">
        <f t="shared" si="191"/>
        <v>20250318</v>
      </c>
      <c r="B883" s="2" t="str">
        <f>"40776413"</f>
        <v>40776413</v>
      </c>
      <c r="C883" s="2" t="str">
        <f>"박정미"</f>
        <v>박정미</v>
      </c>
      <c r="D883" s="2" t="str">
        <f>"F"</f>
        <v>F</v>
      </c>
      <c r="E883" s="2" t="str">
        <f>"19710921"</f>
        <v>19710921</v>
      </c>
      <c r="F883" s="2" t="str">
        <f>"53"</f>
        <v>53</v>
      </c>
      <c r="G883" s="2" t="str">
        <f t="shared" si="183"/>
        <v>E78660</v>
      </c>
      <c r="H883" s="2" t="str">
        <f t="shared" si="184"/>
        <v>가톨릭대학교 서울성모병원</v>
      </c>
      <c r="I883" s="2" t="str">
        <f t="shared" si="192"/>
        <v>배치전</v>
      </c>
    </row>
    <row r="884" spans="1:9" x14ac:dyDescent="0.3">
      <c r="A884" s="2" t="str">
        <f t="shared" si="191"/>
        <v>20250318</v>
      </c>
      <c r="B884" s="2" t="str">
        <f>"40778356"</f>
        <v>40778356</v>
      </c>
      <c r="C884" s="2" t="str">
        <f>"이혜원"</f>
        <v>이혜원</v>
      </c>
      <c r="D884" s="2" t="str">
        <f>"F"</f>
        <v>F</v>
      </c>
      <c r="E884" s="2" t="str">
        <f>"19971217"</f>
        <v>19971217</v>
      </c>
      <c r="F884" s="2" t="str">
        <f>"27"</f>
        <v>27</v>
      </c>
      <c r="G884" s="2" t="str">
        <f t="shared" si="183"/>
        <v>E78660</v>
      </c>
      <c r="H884" s="2" t="str">
        <f t="shared" si="184"/>
        <v>가톨릭대학교 서울성모병원</v>
      </c>
      <c r="I884" s="2" t="str">
        <f t="shared" si="192"/>
        <v>배치전</v>
      </c>
    </row>
    <row r="885" spans="1:9" x14ac:dyDescent="0.3">
      <c r="A885" s="2" t="str">
        <f t="shared" ref="A885:A896" si="193">"20250319"</f>
        <v>20250319</v>
      </c>
      <c r="B885" s="2" t="str">
        <f>"35142103"</f>
        <v>35142103</v>
      </c>
      <c r="C885" s="2" t="str">
        <f>"문은지"</f>
        <v>문은지</v>
      </c>
      <c r="D885" s="2" t="str">
        <f>"F"</f>
        <v>F</v>
      </c>
      <c r="E885" s="2" t="str">
        <f>"20010903"</f>
        <v>20010903</v>
      </c>
      <c r="F885" s="2" t="str">
        <f>"23"</f>
        <v>23</v>
      </c>
      <c r="G885" s="2" t="str">
        <f t="shared" si="183"/>
        <v>E78660</v>
      </c>
      <c r="H885" s="2" t="str">
        <f t="shared" si="184"/>
        <v>가톨릭대학교 서울성모병원</v>
      </c>
      <c r="I885" s="2" t="str">
        <f>"배치후"</f>
        <v>배치후</v>
      </c>
    </row>
    <row r="886" spans="1:9" x14ac:dyDescent="0.3">
      <c r="A886" s="2" t="str">
        <f t="shared" si="193"/>
        <v>20250319</v>
      </c>
      <c r="B886" s="2" t="str">
        <f>"35142574"</f>
        <v>35142574</v>
      </c>
      <c r="C886" s="2" t="str">
        <f>"양하은"</f>
        <v>양하은</v>
      </c>
      <c r="D886" s="2" t="str">
        <f>"F"</f>
        <v>F</v>
      </c>
      <c r="E886" s="2" t="str">
        <f>"20001226"</f>
        <v>20001226</v>
      </c>
      <c r="F886" s="2" t="str">
        <f>"24"</f>
        <v>24</v>
      </c>
      <c r="G886" s="2" t="str">
        <f t="shared" si="183"/>
        <v>E78660</v>
      </c>
      <c r="H886" s="2" t="str">
        <f t="shared" si="184"/>
        <v>가톨릭대학교 서울성모병원</v>
      </c>
      <c r="I886" s="2" t="str">
        <f>"배치전"</f>
        <v>배치전</v>
      </c>
    </row>
    <row r="887" spans="1:9" x14ac:dyDescent="0.3">
      <c r="A887" s="2" t="str">
        <f t="shared" si="193"/>
        <v>20250319</v>
      </c>
      <c r="B887" s="2" t="str">
        <f>"35143301"</f>
        <v>35143301</v>
      </c>
      <c r="C887" s="2" t="str">
        <f>"천지수"</f>
        <v>천지수</v>
      </c>
      <c r="D887" s="2" t="str">
        <f>"F"</f>
        <v>F</v>
      </c>
      <c r="E887" s="2" t="str">
        <f>"20010208"</f>
        <v>20010208</v>
      </c>
      <c r="F887" s="2" t="str">
        <f>"24"</f>
        <v>24</v>
      </c>
      <c r="G887" s="2" t="str">
        <f t="shared" si="183"/>
        <v>E78660</v>
      </c>
      <c r="H887" s="2" t="str">
        <f t="shared" si="184"/>
        <v>가톨릭대학교 서울성모병원</v>
      </c>
      <c r="I887" s="2" t="str">
        <f>"배치후"</f>
        <v>배치후</v>
      </c>
    </row>
    <row r="888" spans="1:9" x14ac:dyDescent="0.3">
      <c r="A888" s="2" t="str">
        <f t="shared" si="193"/>
        <v>20250319</v>
      </c>
      <c r="B888" s="2" t="str">
        <f>"39669573"</f>
        <v>39669573</v>
      </c>
      <c r="C888" s="2" t="str">
        <f>"이주봉"</f>
        <v>이주봉</v>
      </c>
      <c r="D888" s="2" t="str">
        <f>"M"</f>
        <v>M</v>
      </c>
      <c r="E888" s="2" t="str">
        <f>"20001224"</f>
        <v>20001224</v>
      </c>
      <c r="F888" s="2" t="str">
        <f>"24"</f>
        <v>24</v>
      </c>
      <c r="G888" s="2" t="str">
        <f t="shared" si="183"/>
        <v>E78660</v>
      </c>
      <c r="H888" s="2" t="str">
        <f t="shared" si="184"/>
        <v>가톨릭대학교 서울성모병원</v>
      </c>
      <c r="I888" s="2" t="str">
        <f>"배치전"</f>
        <v>배치전</v>
      </c>
    </row>
    <row r="889" spans="1:9" x14ac:dyDescent="0.3">
      <c r="A889" s="2" t="str">
        <f t="shared" si="193"/>
        <v>20250319</v>
      </c>
      <c r="B889" s="2" t="str">
        <f>"40226343"</f>
        <v>40226343</v>
      </c>
      <c r="C889" s="2" t="str">
        <f>"김동령"</f>
        <v>김동령</v>
      </c>
      <c r="D889" s="2" t="str">
        <f>"M"</f>
        <v>M</v>
      </c>
      <c r="E889" s="2" t="str">
        <f>"19970618"</f>
        <v>19970618</v>
      </c>
      <c r="F889" s="2" t="str">
        <f>"27"</f>
        <v>27</v>
      </c>
      <c r="G889" s="2" t="str">
        <f t="shared" si="183"/>
        <v>E78660</v>
      </c>
      <c r="H889" s="2" t="str">
        <f t="shared" si="184"/>
        <v>가톨릭대학교 서울성모병원</v>
      </c>
      <c r="I889" s="2" t="str">
        <f>"배치후"</f>
        <v>배치후</v>
      </c>
    </row>
    <row r="890" spans="1:9" x14ac:dyDescent="0.3">
      <c r="A890" s="2" t="str">
        <f t="shared" si="193"/>
        <v>20250319</v>
      </c>
      <c r="B890" s="2" t="str">
        <f>"40648054"</f>
        <v>40648054</v>
      </c>
      <c r="C890" s="2" t="str">
        <f>"이다인"</f>
        <v>이다인</v>
      </c>
      <c r="D890" s="2" t="str">
        <f>"F"</f>
        <v>F</v>
      </c>
      <c r="E890" s="2" t="str">
        <f>"20010201"</f>
        <v>20010201</v>
      </c>
      <c r="F890" s="2" t="str">
        <f>"24"</f>
        <v>24</v>
      </c>
      <c r="G890" s="2" t="str">
        <f t="shared" si="183"/>
        <v>E78660</v>
      </c>
      <c r="H890" s="2" t="str">
        <f t="shared" si="184"/>
        <v>가톨릭대학교 서울성모병원</v>
      </c>
      <c r="I890" s="2" t="str">
        <f t="shared" ref="I890:I897" si="194">"배치전"</f>
        <v>배치전</v>
      </c>
    </row>
    <row r="891" spans="1:9" x14ac:dyDescent="0.3">
      <c r="A891" s="2" t="str">
        <f t="shared" si="193"/>
        <v>20250319</v>
      </c>
      <c r="B891" s="2" t="str">
        <f>"40735321"</f>
        <v>40735321</v>
      </c>
      <c r="C891" s="2" t="str">
        <f>"황옥환"</f>
        <v>황옥환</v>
      </c>
      <c r="D891" s="2" t="str">
        <f>"F"</f>
        <v>F</v>
      </c>
      <c r="E891" s="2" t="str">
        <f>"19880621"</f>
        <v>19880621</v>
      </c>
      <c r="F891" s="2" t="str">
        <f>"36"</f>
        <v>36</v>
      </c>
      <c r="G891" s="2" t="str">
        <f t="shared" si="183"/>
        <v>E78660</v>
      </c>
      <c r="H891" s="2" t="str">
        <f t="shared" si="184"/>
        <v>가톨릭대학교 서울성모병원</v>
      </c>
      <c r="I891" s="2" t="str">
        <f t="shared" si="194"/>
        <v>배치전</v>
      </c>
    </row>
    <row r="892" spans="1:9" x14ac:dyDescent="0.3">
      <c r="A892" s="2" t="str">
        <f t="shared" si="193"/>
        <v>20250319</v>
      </c>
      <c r="B892" s="2" t="str">
        <f>"40742504"</f>
        <v>40742504</v>
      </c>
      <c r="C892" s="2" t="str">
        <f>"박태은"</f>
        <v>박태은</v>
      </c>
      <c r="D892" s="2" t="str">
        <f>"F"</f>
        <v>F</v>
      </c>
      <c r="E892" s="2" t="str">
        <f>"19991003"</f>
        <v>19991003</v>
      </c>
      <c r="F892" s="2" t="str">
        <f>"25"</f>
        <v>25</v>
      </c>
      <c r="G892" s="2" t="str">
        <f t="shared" si="183"/>
        <v>E78660</v>
      </c>
      <c r="H892" s="2" t="str">
        <f t="shared" si="184"/>
        <v>가톨릭대학교 서울성모병원</v>
      </c>
      <c r="I892" s="2" t="str">
        <f t="shared" si="194"/>
        <v>배치전</v>
      </c>
    </row>
    <row r="893" spans="1:9" x14ac:dyDescent="0.3">
      <c r="A893" s="2" t="str">
        <f t="shared" si="193"/>
        <v>20250319</v>
      </c>
      <c r="B893" s="2" t="str">
        <f>"40753263"</f>
        <v>40753263</v>
      </c>
      <c r="C893" s="2" t="str">
        <f>"김재우"</f>
        <v>김재우</v>
      </c>
      <c r="D893" s="2" t="str">
        <f>"M"</f>
        <v>M</v>
      </c>
      <c r="E893" s="2" t="str">
        <f>"19960823"</f>
        <v>19960823</v>
      </c>
      <c r="F893" s="2" t="str">
        <f>"28"</f>
        <v>28</v>
      </c>
      <c r="G893" s="2" t="str">
        <f t="shared" si="183"/>
        <v>E78660</v>
      </c>
      <c r="H893" s="2" t="str">
        <f t="shared" si="184"/>
        <v>가톨릭대학교 서울성모병원</v>
      </c>
      <c r="I893" s="2" t="str">
        <f t="shared" si="194"/>
        <v>배치전</v>
      </c>
    </row>
    <row r="894" spans="1:9" x14ac:dyDescent="0.3">
      <c r="A894" s="2" t="str">
        <f t="shared" si="193"/>
        <v>20250319</v>
      </c>
      <c r="B894" s="2" t="str">
        <f>"40753286"</f>
        <v>40753286</v>
      </c>
      <c r="C894" s="2" t="str">
        <f>"정현옥"</f>
        <v>정현옥</v>
      </c>
      <c r="D894" s="2" t="str">
        <f>"F"</f>
        <v>F</v>
      </c>
      <c r="E894" s="2" t="str">
        <f>"20000201"</f>
        <v>20000201</v>
      </c>
      <c r="F894" s="2" t="str">
        <f>"25"</f>
        <v>25</v>
      </c>
      <c r="G894" s="2" t="str">
        <f t="shared" si="183"/>
        <v>E78660</v>
      </c>
      <c r="H894" s="2" t="str">
        <f t="shared" si="184"/>
        <v>가톨릭대학교 서울성모병원</v>
      </c>
      <c r="I894" s="2" t="str">
        <f t="shared" si="194"/>
        <v>배치전</v>
      </c>
    </row>
    <row r="895" spans="1:9" x14ac:dyDescent="0.3">
      <c r="A895" s="2" t="str">
        <f t="shared" si="193"/>
        <v>20250319</v>
      </c>
      <c r="B895" s="2" t="str">
        <f>"40763314"</f>
        <v>40763314</v>
      </c>
      <c r="C895" s="2" t="str">
        <f>"김효진"</f>
        <v>김효진</v>
      </c>
      <c r="D895" s="2" t="str">
        <f>"F"</f>
        <v>F</v>
      </c>
      <c r="E895" s="2" t="str">
        <f>"19990915"</f>
        <v>19990915</v>
      </c>
      <c r="F895" s="2" t="str">
        <f>"25"</f>
        <v>25</v>
      </c>
      <c r="G895" s="2" t="str">
        <f t="shared" si="183"/>
        <v>E78660</v>
      </c>
      <c r="H895" s="2" t="str">
        <f t="shared" si="184"/>
        <v>가톨릭대학교 서울성모병원</v>
      </c>
      <c r="I895" s="2" t="str">
        <f t="shared" si="194"/>
        <v>배치전</v>
      </c>
    </row>
    <row r="896" spans="1:9" x14ac:dyDescent="0.3">
      <c r="A896" s="2" t="str">
        <f t="shared" si="193"/>
        <v>20250319</v>
      </c>
      <c r="B896" s="2" t="str">
        <f>"40776576"</f>
        <v>40776576</v>
      </c>
      <c r="C896" s="2" t="str">
        <f>"곽명경"</f>
        <v>곽명경</v>
      </c>
      <c r="D896" s="2" t="str">
        <f>"F"</f>
        <v>F</v>
      </c>
      <c r="E896" s="2" t="str">
        <f>"19921107"</f>
        <v>19921107</v>
      </c>
      <c r="F896" s="2" t="str">
        <f>"32"</f>
        <v>32</v>
      </c>
      <c r="G896" s="2" t="str">
        <f t="shared" si="183"/>
        <v>E78660</v>
      </c>
      <c r="H896" s="2" t="str">
        <f t="shared" si="184"/>
        <v>가톨릭대학교 서울성모병원</v>
      </c>
      <c r="I896" s="2" t="str">
        <f t="shared" si="194"/>
        <v>배치전</v>
      </c>
    </row>
    <row r="897" spans="1:9" x14ac:dyDescent="0.3">
      <c r="A897" s="2" t="str">
        <f>"20250325"</f>
        <v>20250325</v>
      </c>
      <c r="B897" s="2" t="str">
        <f>"32714812"</f>
        <v>32714812</v>
      </c>
      <c r="C897" s="2" t="str">
        <f>"이태현"</f>
        <v>이태현</v>
      </c>
      <c r="D897" s="2" t="str">
        <f>"M"</f>
        <v>M</v>
      </c>
      <c r="E897" s="2" t="str">
        <f>"19911113"</f>
        <v>19911113</v>
      </c>
      <c r="F897" s="2" t="str">
        <f>"33"</f>
        <v>33</v>
      </c>
      <c r="G897" s="2" t="str">
        <f t="shared" si="183"/>
        <v>E78660</v>
      </c>
      <c r="H897" s="2" t="str">
        <f t="shared" si="184"/>
        <v>가톨릭대학교 서울성모병원</v>
      </c>
      <c r="I897" s="2" t="str">
        <f t="shared" si="194"/>
        <v>배치전</v>
      </c>
    </row>
    <row r="898" spans="1:9" x14ac:dyDescent="0.3">
      <c r="A898" s="2" t="str">
        <f>"20250325"</f>
        <v>20250325</v>
      </c>
      <c r="B898" s="2" t="str">
        <f>"40189434"</f>
        <v>40189434</v>
      </c>
      <c r="C898" s="2" t="str">
        <f>"박해용"</f>
        <v>박해용</v>
      </c>
      <c r="D898" s="2" t="str">
        <f>"M"</f>
        <v>M</v>
      </c>
      <c r="E898" s="2" t="str">
        <f>"20000107"</f>
        <v>20000107</v>
      </c>
      <c r="F898" s="2" t="str">
        <f>"25"</f>
        <v>25</v>
      </c>
      <c r="G898" s="2" t="str">
        <f t="shared" si="183"/>
        <v>E78660</v>
      </c>
      <c r="H898" s="2" t="str">
        <f t="shared" si="184"/>
        <v>가톨릭대학교 서울성모병원</v>
      </c>
      <c r="I898" s="2" t="str">
        <f>"배치후"</f>
        <v>배치후</v>
      </c>
    </row>
    <row r="899" spans="1:9" x14ac:dyDescent="0.3">
      <c r="A899" s="2" t="str">
        <f>"20250325"</f>
        <v>20250325</v>
      </c>
      <c r="B899" s="2" t="str">
        <f>"40223361"</f>
        <v>40223361</v>
      </c>
      <c r="C899" s="2" t="str">
        <f>"송춘희"</f>
        <v>송춘희</v>
      </c>
      <c r="D899" s="2" t="str">
        <f>"F"</f>
        <v>F</v>
      </c>
      <c r="E899" s="2" t="str">
        <f>"19720502"</f>
        <v>19720502</v>
      </c>
      <c r="F899" s="2" t="str">
        <f>"52"</f>
        <v>52</v>
      </c>
      <c r="G899" s="2" t="str">
        <f t="shared" si="183"/>
        <v>E78660</v>
      </c>
      <c r="H899" s="2" t="str">
        <f t="shared" si="184"/>
        <v>가톨릭대학교 서울성모병원</v>
      </c>
      <c r="I899" s="2" t="str">
        <f>"배치후"</f>
        <v>배치후</v>
      </c>
    </row>
    <row r="900" spans="1:9" x14ac:dyDescent="0.3">
      <c r="A900" s="2" t="str">
        <f>"20250325"</f>
        <v>20250325</v>
      </c>
      <c r="B900" s="2" t="str">
        <f>"40770035"</f>
        <v>40770035</v>
      </c>
      <c r="C900" s="2" t="str">
        <f>"강진주"</f>
        <v>강진주</v>
      </c>
      <c r="D900" s="2" t="str">
        <f>"F"</f>
        <v>F</v>
      </c>
      <c r="E900" s="2" t="str">
        <f>"19960630"</f>
        <v>19960630</v>
      </c>
      <c r="F900" s="2" t="str">
        <f>"28"</f>
        <v>28</v>
      </c>
      <c r="G900" s="2" t="str">
        <f t="shared" si="183"/>
        <v>E78660</v>
      </c>
      <c r="H900" s="2" t="str">
        <f t="shared" si="184"/>
        <v>가톨릭대학교 서울성모병원</v>
      </c>
      <c r="I900" s="2" t="str">
        <f>"배치전"</f>
        <v>배치전</v>
      </c>
    </row>
    <row r="901" spans="1:9" x14ac:dyDescent="0.3">
      <c r="A901" s="2" t="str">
        <f>"20250325"</f>
        <v>20250325</v>
      </c>
      <c r="B901" s="2" t="str">
        <f>"40780991"</f>
        <v>40780991</v>
      </c>
      <c r="C901" s="2" t="str">
        <f>"성제현"</f>
        <v>성제현</v>
      </c>
      <c r="D901" s="2" t="str">
        <f>"M"</f>
        <v>M</v>
      </c>
      <c r="E901" s="2" t="str">
        <f>"20000828"</f>
        <v>20000828</v>
      </c>
      <c r="F901" s="2" t="str">
        <f>"24"</f>
        <v>24</v>
      </c>
      <c r="G901" s="2" t="str">
        <f t="shared" ref="G901:G964" si="195">"E78660"</f>
        <v>E78660</v>
      </c>
      <c r="H901" s="2" t="str">
        <f t="shared" ref="H901:H964" si="196">"가톨릭대학교 서울성모병원"</f>
        <v>가톨릭대학교 서울성모병원</v>
      </c>
      <c r="I901" s="2" t="str">
        <f>"배치전"</f>
        <v>배치전</v>
      </c>
    </row>
    <row r="902" spans="1:9" x14ac:dyDescent="0.3">
      <c r="A902" s="2" t="str">
        <f t="shared" ref="A902:A911" si="197">"20250326"</f>
        <v>20250326</v>
      </c>
      <c r="B902" s="2" t="str">
        <f>"19651464"</f>
        <v>19651464</v>
      </c>
      <c r="C902" s="2" t="str">
        <f>"홍현미"</f>
        <v>홍현미</v>
      </c>
      <c r="D902" s="2" t="str">
        <f>"F"</f>
        <v>F</v>
      </c>
      <c r="E902" s="2" t="str">
        <f>"19830407"</f>
        <v>19830407</v>
      </c>
      <c r="F902" s="2" t="str">
        <f>"41"</f>
        <v>41</v>
      </c>
      <c r="G902" s="2" t="str">
        <f t="shared" si="195"/>
        <v>E78660</v>
      </c>
      <c r="H902" s="2" t="str">
        <f t="shared" si="196"/>
        <v>가톨릭대학교 서울성모병원</v>
      </c>
      <c r="I902" s="2" t="str">
        <f>"배치후"</f>
        <v>배치후</v>
      </c>
    </row>
    <row r="903" spans="1:9" x14ac:dyDescent="0.3">
      <c r="A903" s="2" t="str">
        <f t="shared" si="197"/>
        <v>20250326</v>
      </c>
      <c r="B903" s="2" t="str">
        <f>"33495314"</f>
        <v>33495314</v>
      </c>
      <c r="C903" s="2" t="str">
        <f>"윤수진"</f>
        <v>윤수진</v>
      </c>
      <c r="D903" s="2" t="str">
        <f>"F"</f>
        <v>F</v>
      </c>
      <c r="E903" s="2" t="str">
        <f>"19890726"</f>
        <v>19890726</v>
      </c>
      <c r="F903" s="2" t="str">
        <f>"35"</f>
        <v>35</v>
      </c>
      <c r="G903" s="2" t="str">
        <f t="shared" si="195"/>
        <v>E78660</v>
      </c>
      <c r="H903" s="2" t="str">
        <f t="shared" si="196"/>
        <v>가톨릭대학교 서울성모병원</v>
      </c>
      <c r="I903" s="2" t="str">
        <f>"배치전"</f>
        <v>배치전</v>
      </c>
    </row>
    <row r="904" spans="1:9" x14ac:dyDescent="0.3">
      <c r="A904" s="2" t="str">
        <f t="shared" si="197"/>
        <v>20250326</v>
      </c>
      <c r="B904" s="2" t="str">
        <f>"40223441"</f>
        <v>40223441</v>
      </c>
      <c r="C904" s="2" t="str">
        <f>"곽도영"</f>
        <v>곽도영</v>
      </c>
      <c r="D904" s="2" t="str">
        <f>"M"</f>
        <v>M</v>
      </c>
      <c r="E904" s="2" t="str">
        <f>"19980905"</f>
        <v>19980905</v>
      </c>
      <c r="F904" s="2" t="str">
        <f>"26"</f>
        <v>26</v>
      </c>
      <c r="G904" s="2" t="str">
        <f t="shared" si="195"/>
        <v>E78660</v>
      </c>
      <c r="H904" s="2" t="str">
        <f t="shared" si="196"/>
        <v>가톨릭대학교 서울성모병원</v>
      </c>
      <c r="I904" s="2" t="str">
        <f>"배치후"</f>
        <v>배치후</v>
      </c>
    </row>
    <row r="905" spans="1:9" x14ac:dyDescent="0.3">
      <c r="A905" s="2" t="str">
        <f t="shared" si="197"/>
        <v>20250326</v>
      </c>
      <c r="B905" s="2" t="str">
        <f>"40227592"</f>
        <v>40227592</v>
      </c>
      <c r="C905" s="2" t="str">
        <f>"안수지"</f>
        <v>안수지</v>
      </c>
      <c r="D905" s="2" t="str">
        <f>"F"</f>
        <v>F</v>
      </c>
      <c r="E905" s="2" t="str">
        <f>"19970723"</f>
        <v>19970723</v>
      </c>
      <c r="F905" s="2" t="str">
        <f>"27"</f>
        <v>27</v>
      </c>
      <c r="G905" s="2" t="str">
        <f t="shared" si="195"/>
        <v>E78660</v>
      </c>
      <c r="H905" s="2" t="str">
        <f t="shared" si="196"/>
        <v>가톨릭대학교 서울성모병원</v>
      </c>
      <c r="I905" s="2" t="str">
        <f>"배치후"</f>
        <v>배치후</v>
      </c>
    </row>
    <row r="906" spans="1:9" x14ac:dyDescent="0.3">
      <c r="A906" s="2" t="str">
        <f t="shared" si="197"/>
        <v>20250326</v>
      </c>
      <c r="B906" s="2" t="str">
        <f>"40672482"</f>
        <v>40672482</v>
      </c>
      <c r="C906" s="2" t="str">
        <f>"이신영"</f>
        <v>이신영</v>
      </c>
      <c r="D906" s="2" t="str">
        <f>"F"</f>
        <v>F</v>
      </c>
      <c r="E906" s="2" t="str">
        <f>"19990406"</f>
        <v>19990406</v>
      </c>
      <c r="F906" s="2" t="str">
        <f>"25"</f>
        <v>25</v>
      </c>
      <c r="G906" s="2" t="str">
        <f t="shared" si="195"/>
        <v>E78660</v>
      </c>
      <c r="H906" s="2" t="str">
        <f t="shared" si="196"/>
        <v>가톨릭대학교 서울성모병원</v>
      </c>
      <c r="I906" s="2" t="str">
        <f t="shared" ref="I906:I912" si="198">"배치전"</f>
        <v>배치전</v>
      </c>
    </row>
    <row r="907" spans="1:9" x14ac:dyDescent="0.3">
      <c r="A907" s="2" t="str">
        <f t="shared" si="197"/>
        <v>20250326</v>
      </c>
      <c r="B907" s="2" t="str">
        <f>"40742493"</f>
        <v>40742493</v>
      </c>
      <c r="C907" s="2" t="str">
        <f>"선우성"</f>
        <v>선우성</v>
      </c>
      <c r="D907" s="2" t="str">
        <f>"M"</f>
        <v>M</v>
      </c>
      <c r="E907" s="2" t="str">
        <f>"20000816"</f>
        <v>20000816</v>
      </c>
      <c r="F907" s="2" t="str">
        <f>"24"</f>
        <v>24</v>
      </c>
      <c r="G907" s="2" t="str">
        <f t="shared" si="195"/>
        <v>E78660</v>
      </c>
      <c r="H907" s="2" t="str">
        <f t="shared" si="196"/>
        <v>가톨릭대학교 서울성모병원</v>
      </c>
      <c r="I907" s="2" t="str">
        <f t="shared" si="198"/>
        <v>배치전</v>
      </c>
    </row>
    <row r="908" spans="1:9" x14ac:dyDescent="0.3">
      <c r="A908" s="2" t="str">
        <f t="shared" si="197"/>
        <v>20250326</v>
      </c>
      <c r="B908" s="2" t="str">
        <f>"40742513"</f>
        <v>40742513</v>
      </c>
      <c r="C908" s="2" t="str">
        <f>"이도연"</f>
        <v>이도연</v>
      </c>
      <c r="D908" s="2" t="str">
        <f>"F"</f>
        <v>F</v>
      </c>
      <c r="E908" s="2" t="str">
        <f>"19980218"</f>
        <v>19980218</v>
      </c>
      <c r="F908" s="2" t="str">
        <f>"27"</f>
        <v>27</v>
      </c>
      <c r="G908" s="2" t="str">
        <f t="shared" si="195"/>
        <v>E78660</v>
      </c>
      <c r="H908" s="2" t="str">
        <f t="shared" si="196"/>
        <v>가톨릭대학교 서울성모병원</v>
      </c>
      <c r="I908" s="2" t="str">
        <f t="shared" si="198"/>
        <v>배치전</v>
      </c>
    </row>
    <row r="909" spans="1:9" x14ac:dyDescent="0.3">
      <c r="A909" s="2" t="str">
        <f t="shared" si="197"/>
        <v>20250326</v>
      </c>
      <c r="B909" s="2" t="str">
        <f>"40742522"</f>
        <v>40742522</v>
      </c>
      <c r="C909" s="2" t="str">
        <f>"이수연"</f>
        <v>이수연</v>
      </c>
      <c r="D909" s="2" t="str">
        <f>"F"</f>
        <v>F</v>
      </c>
      <c r="E909" s="2" t="str">
        <f>"19990506"</f>
        <v>19990506</v>
      </c>
      <c r="F909" s="2" t="str">
        <f>"25"</f>
        <v>25</v>
      </c>
      <c r="G909" s="2" t="str">
        <f t="shared" si="195"/>
        <v>E78660</v>
      </c>
      <c r="H909" s="2" t="str">
        <f t="shared" si="196"/>
        <v>가톨릭대학교 서울성모병원</v>
      </c>
      <c r="I909" s="2" t="str">
        <f t="shared" si="198"/>
        <v>배치전</v>
      </c>
    </row>
    <row r="910" spans="1:9" x14ac:dyDescent="0.3">
      <c r="A910" s="2" t="str">
        <f t="shared" si="197"/>
        <v>20250326</v>
      </c>
      <c r="B910" s="2" t="str">
        <f>"40753252"</f>
        <v>40753252</v>
      </c>
      <c r="C910" s="2" t="str">
        <f>"박민수"</f>
        <v>박민수</v>
      </c>
      <c r="D910" s="2" t="str">
        <f>"M"</f>
        <v>M</v>
      </c>
      <c r="E910" s="2" t="str">
        <f>"20010423"</f>
        <v>20010423</v>
      </c>
      <c r="F910" s="2" t="str">
        <f>"23"</f>
        <v>23</v>
      </c>
      <c r="G910" s="2" t="str">
        <f t="shared" si="195"/>
        <v>E78660</v>
      </c>
      <c r="H910" s="2" t="str">
        <f t="shared" si="196"/>
        <v>가톨릭대학교 서울성모병원</v>
      </c>
      <c r="I910" s="2" t="str">
        <f t="shared" si="198"/>
        <v>배치전</v>
      </c>
    </row>
    <row r="911" spans="1:9" x14ac:dyDescent="0.3">
      <c r="A911" s="2" t="str">
        <f t="shared" si="197"/>
        <v>20250326</v>
      </c>
      <c r="B911" s="2" t="str">
        <f>"40763303"</f>
        <v>40763303</v>
      </c>
      <c r="C911" s="2" t="str">
        <f>"이건민"</f>
        <v>이건민</v>
      </c>
      <c r="D911" s="2" t="str">
        <f>"M"</f>
        <v>M</v>
      </c>
      <c r="E911" s="2" t="str">
        <f>"19980213"</f>
        <v>19980213</v>
      </c>
      <c r="F911" s="2" t="str">
        <f>"27"</f>
        <v>27</v>
      </c>
      <c r="G911" s="2" t="str">
        <f t="shared" si="195"/>
        <v>E78660</v>
      </c>
      <c r="H911" s="2" t="str">
        <f t="shared" si="196"/>
        <v>가톨릭대학교 서울성모병원</v>
      </c>
      <c r="I911" s="2" t="str">
        <f t="shared" si="198"/>
        <v>배치전</v>
      </c>
    </row>
    <row r="912" spans="1:9" x14ac:dyDescent="0.3">
      <c r="A912" s="2" t="str">
        <f t="shared" ref="A912:A921" si="199">"20250422"</f>
        <v>20250422</v>
      </c>
      <c r="B912" s="2" t="str">
        <f>"20189076"</f>
        <v>20189076</v>
      </c>
      <c r="C912" s="2" t="str">
        <f>"정남철"</f>
        <v>정남철</v>
      </c>
      <c r="D912" s="2" t="str">
        <f>"F"</f>
        <v>F</v>
      </c>
      <c r="E912" s="2" t="str">
        <f>"19700510"</f>
        <v>19700510</v>
      </c>
      <c r="F912" s="2" t="str">
        <f>"54"</f>
        <v>54</v>
      </c>
      <c r="G912" s="2" t="str">
        <f t="shared" si="195"/>
        <v>E78660</v>
      </c>
      <c r="H912" s="2" t="str">
        <f t="shared" si="196"/>
        <v>가톨릭대학교 서울성모병원</v>
      </c>
      <c r="I912" s="2" t="str">
        <f t="shared" si="198"/>
        <v>배치전</v>
      </c>
    </row>
    <row r="913" spans="1:9" x14ac:dyDescent="0.3">
      <c r="A913" s="2" t="str">
        <f t="shared" si="199"/>
        <v>20250422</v>
      </c>
      <c r="B913" s="2" t="str">
        <f>"32008303"</f>
        <v>32008303</v>
      </c>
      <c r="C913" s="2" t="str">
        <f>"박대준"</f>
        <v>박대준</v>
      </c>
      <c r="D913" s="2" t="str">
        <f>"M"</f>
        <v>M</v>
      </c>
      <c r="E913" s="2" t="str">
        <f>"19990618"</f>
        <v>19990618</v>
      </c>
      <c r="F913" s="2" t="str">
        <f>"25"</f>
        <v>25</v>
      </c>
      <c r="G913" s="2" t="str">
        <f t="shared" si="195"/>
        <v>E78660</v>
      </c>
      <c r="H913" s="2" t="str">
        <f t="shared" si="196"/>
        <v>가톨릭대학교 서울성모병원</v>
      </c>
      <c r="I913" s="2" t="str">
        <f>"배치후"</f>
        <v>배치후</v>
      </c>
    </row>
    <row r="914" spans="1:9" x14ac:dyDescent="0.3">
      <c r="A914" s="2" t="str">
        <f t="shared" si="199"/>
        <v>20250422</v>
      </c>
      <c r="B914" s="2" t="str">
        <f>"39758904"</f>
        <v>39758904</v>
      </c>
      <c r="C914" s="2" t="str">
        <f>"오주연"</f>
        <v>오주연</v>
      </c>
      <c r="D914" s="2" t="str">
        <f>"F"</f>
        <v>F</v>
      </c>
      <c r="E914" s="2" t="str">
        <f>"19980517"</f>
        <v>19980517</v>
      </c>
      <c r="F914" s="2" t="str">
        <f>"26"</f>
        <v>26</v>
      </c>
      <c r="G914" s="2" t="str">
        <f t="shared" si="195"/>
        <v>E78660</v>
      </c>
      <c r="H914" s="2" t="str">
        <f t="shared" si="196"/>
        <v>가톨릭대학교 서울성모병원</v>
      </c>
      <c r="I914" s="2" t="str">
        <f>"배치전"</f>
        <v>배치전</v>
      </c>
    </row>
    <row r="915" spans="1:9" x14ac:dyDescent="0.3">
      <c r="A915" s="2" t="str">
        <f t="shared" si="199"/>
        <v>20250422</v>
      </c>
      <c r="B915" s="2" t="str">
        <f>"40325323"</f>
        <v>40325323</v>
      </c>
      <c r="C915" s="2" t="str">
        <f>"윤은지"</f>
        <v>윤은지</v>
      </c>
      <c r="D915" s="2" t="str">
        <f>"F"</f>
        <v>F</v>
      </c>
      <c r="E915" s="2" t="str">
        <f>"19950419"</f>
        <v>19950419</v>
      </c>
      <c r="F915" s="2" t="str">
        <f>"30"</f>
        <v>30</v>
      </c>
      <c r="G915" s="2" t="str">
        <f t="shared" si="195"/>
        <v>E78660</v>
      </c>
      <c r="H915" s="2" t="str">
        <f t="shared" si="196"/>
        <v>가톨릭대학교 서울성모병원</v>
      </c>
      <c r="I915" s="2" t="str">
        <f>"배치후"</f>
        <v>배치후</v>
      </c>
    </row>
    <row r="916" spans="1:9" x14ac:dyDescent="0.3">
      <c r="A916" s="2" t="str">
        <f t="shared" si="199"/>
        <v>20250422</v>
      </c>
      <c r="B916" s="2" t="str">
        <f>"40589386"</f>
        <v>40589386</v>
      </c>
      <c r="C916" s="2" t="str">
        <f>"유승원"</f>
        <v>유승원</v>
      </c>
      <c r="D916" s="2" t="str">
        <f>"M"</f>
        <v>M</v>
      </c>
      <c r="E916" s="2" t="str">
        <f>"20000130"</f>
        <v>20000130</v>
      </c>
      <c r="F916" s="2" t="str">
        <f>"25"</f>
        <v>25</v>
      </c>
      <c r="G916" s="2" t="str">
        <f t="shared" si="195"/>
        <v>E78660</v>
      </c>
      <c r="H916" s="2" t="str">
        <f t="shared" si="196"/>
        <v>가톨릭대학교 서울성모병원</v>
      </c>
      <c r="I916" s="2" t="str">
        <f t="shared" ref="I916:I922" si="200">"배치전"</f>
        <v>배치전</v>
      </c>
    </row>
    <row r="917" spans="1:9" x14ac:dyDescent="0.3">
      <c r="A917" s="2" t="str">
        <f t="shared" si="199"/>
        <v>20250422</v>
      </c>
      <c r="B917" s="2" t="str">
        <f>"40648043"</f>
        <v>40648043</v>
      </c>
      <c r="C917" s="2" t="str">
        <f>"김정민"</f>
        <v>김정민</v>
      </c>
      <c r="D917" s="2" t="str">
        <f>"F"</f>
        <v>F</v>
      </c>
      <c r="E917" s="2" t="str">
        <f>"20011105"</f>
        <v>20011105</v>
      </c>
      <c r="F917" s="2" t="str">
        <f>"23"</f>
        <v>23</v>
      </c>
      <c r="G917" s="2" t="str">
        <f t="shared" si="195"/>
        <v>E78660</v>
      </c>
      <c r="H917" s="2" t="str">
        <f t="shared" si="196"/>
        <v>가톨릭대학교 서울성모병원</v>
      </c>
      <c r="I917" s="2" t="str">
        <f t="shared" si="200"/>
        <v>배치전</v>
      </c>
    </row>
    <row r="918" spans="1:9" x14ac:dyDescent="0.3">
      <c r="A918" s="2" t="str">
        <f t="shared" si="199"/>
        <v>20250422</v>
      </c>
      <c r="B918" s="2" t="str">
        <f>"40800432"</f>
        <v>40800432</v>
      </c>
      <c r="C918" s="2" t="str">
        <f>"최희연"</f>
        <v>최희연</v>
      </c>
      <c r="D918" s="2" t="str">
        <f>"F"</f>
        <v>F</v>
      </c>
      <c r="E918" s="2" t="str">
        <f>"20010928"</f>
        <v>20010928</v>
      </c>
      <c r="F918" s="2" t="str">
        <f>"23"</f>
        <v>23</v>
      </c>
      <c r="G918" s="2" t="str">
        <f t="shared" si="195"/>
        <v>E78660</v>
      </c>
      <c r="H918" s="2" t="str">
        <f t="shared" si="196"/>
        <v>가톨릭대학교 서울성모병원</v>
      </c>
      <c r="I918" s="2" t="str">
        <f t="shared" si="200"/>
        <v>배치전</v>
      </c>
    </row>
    <row r="919" spans="1:9" x14ac:dyDescent="0.3">
      <c r="A919" s="2" t="str">
        <f t="shared" si="199"/>
        <v>20250422</v>
      </c>
      <c r="B919" s="2" t="str">
        <f>"40834354"</f>
        <v>40834354</v>
      </c>
      <c r="C919" s="2" t="str">
        <f>"김대웅"</f>
        <v>김대웅</v>
      </c>
      <c r="D919" s="2" t="str">
        <f>"M"</f>
        <v>M</v>
      </c>
      <c r="E919" s="2" t="str">
        <f>"19980616"</f>
        <v>19980616</v>
      </c>
      <c r="F919" s="2" t="str">
        <f>"26"</f>
        <v>26</v>
      </c>
      <c r="G919" s="2" t="str">
        <f t="shared" si="195"/>
        <v>E78660</v>
      </c>
      <c r="H919" s="2" t="str">
        <f t="shared" si="196"/>
        <v>가톨릭대학교 서울성모병원</v>
      </c>
      <c r="I919" s="2" t="str">
        <f t="shared" si="200"/>
        <v>배치전</v>
      </c>
    </row>
    <row r="920" spans="1:9" x14ac:dyDescent="0.3">
      <c r="A920" s="2" t="str">
        <f t="shared" si="199"/>
        <v>20250422</v>
      </c>
      <c r="B920" s="2" t="str">
        <f>"40834446"</f>
        <v>40834446</v>
      </c>
      <c r="C920" s="2" t="str">
        <f>"박사름"</f>
        <v>박사름</v>
      </c>
      <c r="D920" s="2" t="str">
        <f t="shared" ref="D920:D926" si="201">"F"</f>
        <v>F</v>
      </c>
      <c r="E920" s="2" t="str">
        <f>"19950503"</f>
        <v>19950503</v>
      </c>
      <c r="F920" s="2" t="str">
        <f>"29"</f>
        <v>29</v>
      </c>
      <c r="G920" s="2" t="str">
        <f t="shared" si="195"/>
        <v>E78660</v>
      </c>
      <c r="H920" s="2" t="str">
        <f t="shared" si="196"/>
        <v>가톨릭대학교 서울성모병원</v>
      </c>
      <c r="I920" s="2" t="str">
        <f t="shared" si="200"/>
        <v>배치전</v>
      </c>
    </row>
    <row r="921" spans="1:9" x14ac:dyDescent="0.3">
      <c r="A921" s="2" t="str">
        <f t="shared" si="199"/>
        <v>20250422</v>
      </c>
      <c r="B921" s="2" t="str">
        <f>"40862440"</f>
        <v>40862440</v>
      </c>
      <c r="C921" s="2" t="str">
        <f>"최은빈"</f>
        <v>최은빈</v>
      </c>
      <c r="D921" s="2" t="str">
        <f t="shared" si="201"/>
        <v>F</v>
      </c>
      <c r="E921" s="2" t="str">
        <f>"19990517"</f>
        <v>19990517</v>
      </c>
      <c r="F921" s="2" t="str">
        <f>"25"</f>
        <v>25</v>
      </c>
      <c r="G921" s="2" t="str">
        <f t="shared" si="195"/>
        <v>E78660</v>
      </c>
      <c r="H921" s="2" t="str">
        <f t="shared" si="196"/>
        <v>가톨릭대학교 서울성모병원</v>
      </c>
      <c r="I921" s="2" t="str">
        <f t="shared" si="200"/>
        <v>배치전</v>
      </c>
    </row>
    <row r="922" spans="1:9" x14ac:dyDescent="0.3">
      <c r="A922" s="2" t="str">
        <f t="shared" ref="A922:A937" si="202">"20250423"</f>
        <v>20250423</v>
      </c>
      <c r="B922" s="2" t="str">
        <f>"14876579"</f>
        <v>14876579</v>
      </c>
      <c r="C922" s="2" t="str">
        <f>"김도윤"</f>
        <v>김도윤</v>
      </c>
      <c r="D922" s="2" t="str">
        <f t="shared" si="201"/>
        <v>F</v>
      </c>
      <c r="E922" s="2" t="str">
        <f>"19981130"</f>
        <v>19981130</v>
      </c>
      <c r="F922" s="2" t="str">
        <f>"26"</f>
        <v>26</v>
      </c>
      <c r="G922" s="2" t="str">
        <f t="shared" si="195"/>
        <v>E78660</v>
      </c>
      <c r="H922" s="2" t="str">
        <f t="shared" si="196"/>
        <v>가톨릭대학교 서울성모병원</v>
      </c>
      <c r="I922" s="2" t="str">
        <f t="shared" si="200"/>
        <v>배치전</v>
      </c>
    </row>
    <row r="923" spans="1:9" x14ac:dyDescent="0.3">
      <c r="A923" s="2" t="str">
        <f t="shared" si="202"/>
        <v>20250423</v>
      </c>
      <c r="B923" s="2" t="str">
        <f>"19253037"</f>
        <v>19253037</v>
      </c>
      <c r="C923" s="2" t="str">
        <f>"강은형"</f>
        <v>강은형</v>
      </c>
      <c r="D923" s="2" t="str">
        <f t="shared" si="201"/>
        <v>F</v>
      </c>
      <c r="E923" s="2" t="str">
        <f>"19850718"</f>
        <v>19850718</v>
      </c>
      <c r="F923" s="2" t="str">
        <f>"39"</f>
        <v>39</v>
      </c>
      <c r="G923" s="2" t="str">
        <f t="shared" si="195"/>
        <v>E78660</v>
      </c>
      <c r="H923" s="2" t="str">
        <f t="shared" si="196"/>
        <v>가톨릭대학교 서울성모병원</v>
      </c>
      <c r="I923" s="2" t="str">
        <f>"배치후"</f>
        <v>배치후</v>
      </c>
    </row>
    <row r="924" spans="1:9" x14ac:dyDescent="0.3">
      <c r="A924" s="2" t="str">
        <f t="shared" si="202"/>
        <v>20250423</v>
      </c>
      <c r="B924" s="2" t="str">
        <f>"21029714"</f>
        <v>21029714</v>
      </c>
      <c r="C924" s="2" t="str">
        <f>"문채원"</f>
        <v>문채원</v>
      </c>
      <c r="D924" s="2" t="str">
        <f t="shared" si="201"/>
        <v>F</v>
      </c>
      <c r="E924" s="2" t="str">
        <f>"19820909"</f>
        <v>19820909</v>
      </c>
      <c r="F924" s="2" t="str">
        <f>"42"</f>
        <v>42</v>
      </c>
      <c r="G924" s="2" t="str">
        <f t="shared" si="195"/>
        <v>E78660</v>
      </c>
      <c r="H924" s="2" t="str">
        <f t="shared" si="196"/>
        <v>가톨릭대학교 서울성모병원</v>
      </c>
      <c r="I924" s="2" t="str">
        <f>"배치전"</f>
        <v>배치전</v>
      </c>
    </row>
    <row r="925" spans="1:9" x14ac:dyDescent="0.3">
      <c r="A925" s="2" t="str">
        <f t="shared" si="202"/>
        <v>20250423</v>
      </c>
      <c r="B925" s="2" t="str">
        <f>"26291243"</f>
        <v>26291243</v>
      </c>
      <c r="C925" s="2" t="str">
        <f>"김회연"</f>
        <v>김회연</v>
      </c>
      <c r="D925" s="2" t="str">
        <f t="shared" si="201"/>
        <v>F</v>
      </c>
      <c r="E925" s="2" t="str">
        <f>"19900617"</f>
        <v>19900617</v>
      </c>
      <c r="F925" s="2" t="str">
        <f>"34"</f>
        <v>34</v>
      </c>
      <c r="G925" s="2" t="str">
        <f t="shared" si="195"/>
        <v>E78660</v>
      </c>
      <c r="H925" s="2" t="str">
        <f t="shared" si="196"/>
        <v>가톨릭대학교 서울성모병원</v>
      </c>
      <c r="I925" s="2" t="str">
        <f>"배치전"</f>
        <v>배치전</v>
      </c>
    </row>
    <row r="926" spans="1:9" x14ac:dyDescent="0.3">
      <c r="A926" s="2" t="str">
        <f t="shared" si="202"/>
        <v>20250423</v>
      </c>
      <c r="B926" s="2" t="str">
        <f>"32007244"</f>
        <v>32007244</v>
      </c>
      <c r="C926" s="2" t="str">
        <f>"최진영"</f>
        <v>최진영</v>
      </c>
      <c r="D926" s="2" t="str">
        <f t="shared" si="201"/>
        <v>F</v>
      </c>
      <c r="E926" s="2" t="str">
        <f>"19960122"</f>
        <v>19960122</v>
      </c>
      <c r="F926" s="2" t="str">
        <f>"29"</f>
        <v>29</v>
      </c>
      <c r="G926" s="2" t="str">
        <f t="shared" si="195"/>
        <v>E78660</v>
      </c>
      <c r="H926" s="2" t="str">
        <f t="shared" si="196"/>
        <v>가톨릭대학교 서울성모병원</v>
      </c>
      <c r="I926" s="2" t="str">
        <f>"배치전"</f>
        <v>배치전</v>
      </c>
    </row>
    <row r="927" spans="1:9" x14ac:dyDescent="0.3">
      <c r="A927" s="2" t="str">
        <f t="shared" si="202"/>
        <v>20250423</v>
      </c>
      <c r="B927" s="2" t="str">
        <f>"33102072"</f>
        <v>33102072</v>
      </c>
      <c r="C927" s="2" t="str">
        <f>"김창섭"</f>
        <v>김창섭</v>
      </c>
      <c r="D927" s="2" t="str">
        <f>"M"</f>
        <v>M</v>
      </c>
      <c r="E927" s="2" t="str">
        <f>"19920418"</f>
        <v>19920418</v>
      </c>
      <c r="F927" s="2" t="str">
        <f>"33"</f>
        <v>33</v>
      </c>
      <c r="G927" s="2" t="str">
        <f t="shared" si="195"/>
        <v>E78660</v>
      </c>
      <c r="H927" s="2" t="str">
        <f t="shared" si="196"/>
        <v>가톨릭대학교 서울성모병원</v>
      </c>
      <c r="I927" s="2" t="str">
        <f>"배치전"</f>
        <v>배치전</v>
      </c>
    </row>
    <row r="928" spans="1:9" x14ac:dyDescent="0.3">
      <c r="A928" s="2" t="str">
        <f t="shared" si="202"/>
        <v>20250423</v>
      </c>
      <c r="B928" s="2" t="str">
        <f>"34720056"</f>
        <v>34720056</v>
      </c>
      <c r="C928" s="2" t="str">
        <f>"안은솔"</f>
        <v>안은솔</v>
      </c>
      <c r="D928" s="2" t="str">
        <f t="shared" ref="D928:D934" si="203">"F"</f>
        <v>F</v>
      </c>
      <c r="E928" s="2" t="str">
        <f>"19921002"</f>
        <v>19921002</v>
      </c>
      <c r="F928" s="2" t="str">
        <f>"32"</f>
        <v>32</v>
      </c>
      <c r="G928" s="2" t="str">
        <f t="shared" si="195"/>
        <v>E78660</v>
      </c>
      <c r="H928" s="2" t="str">
        <f t="shared" si="196"/>
        <v>가톨릭대학교 서울성모병원</v>
      </c>
      <c r="I928" s="2" t="str">
        <f>"배치전"</f>
        <v>배치전</v>
      </c>
    </row>
    <row r="929" spans="1:9" x14ac:dyDescent="0.3">
      <c r="A929" s="2" t="str">
        <f t="shared" si="202"/>
        <v>20250423</v>
      </c>
      <c r="B929" s="2" t="str">
        <f>"40291243"</f>
        <v>40291243</v>
      </c>
      <c r="C929" s="2" t="str">
        <f>"이선아"</f>
        <v>이선아</v>
      </c>
      <c r="D929" s="2" t="str">
        <f t="shared" si="203"/>
        <v>F</v>
      </c>
      <c r="E929" s="2" t="str">
        <f>"19980326"</f>
        <v>19980326</v>
      </c>
      <c r="F929" s="2" t="str">
        <f>"27"</f>
        <v>27</v>
      </c>
      <c r="G929" s="2" t="str">
        <f t="shared" si="195"/>
        <v>E78660</v>
      </c>
      <c r="H929" s="2" t="str">
        <f t="shared" si="196"/>
        <v>가톨릭대학교 서울성모병원</v>
      </c>
      <c r="I929" s="2" t="str">
        <f>"배치후"</f>
        <v>배치후</v>
      </c>
    </row>
    <row r="930" spans="1:9" x14ac:dyDescent="0.3">
      <c r="A930" s="2" t="str">
        <f t="shared" si="202"/>
        <v>20250423</v>
      </c>
      <c r="B930" s="2" t="str">
        <f>"40421412"</f>
        <v>40421412</v>
      </c>
      <c r="C930" s="2" t="str">
        <f>"이주아"</f>
        <v>이주아</v>
      </c>
      <c r="D930" s="2" t="str">
        <f t="shared" si="203"/>
        <v>F</v>
      </c>
      <c r="E930" s="2" t="str">
        <f>"19960709"</f>
        <v>19960709</v>
      </c>
      <c r="F930" s="2" t="str">
        <f>"28"</f>
        <v>28</v>
      </c>
      <c r="G930" s="2" t="str">
        <f t="shared" si="195"/>
        <v>E78660</v>
      </c>
      <c r="H930" s="2" t="str">
        <f t="shared" si="196"/>
        <v>가톨릭대학교 서울성모병원</v>
      </c>
      <c r="I930" s="2" t="str">
        <f>"배치후"</f>
        <v>배치후</v>
      </c>
    </row>
    <row r="931" spans="1:9" x14ac:dyDescent="0.3">
      <c r="A931" s="2" t="str">
        <f t="shared" si="202"/>
        <v>20250423</v>
      </c>
      <c r="B931" s="2" t="str">
        <f>"40722441"</f>
        <v>40722441</v>
      </c>
      <c r="C931" s="2" t="str">
        <f>"김민정"</f>
        <v>김민정</v>
      </c>
      <c r="D931" s="2" t="str">
        <f t="shared" si="203"/>
        <v>F</v>
      </c>
      <c r="E931" s="2" t="str">
        <f>"20000215"</f>
        <v>20000215</v>
      </c>
      <c r="F931" s="2" t="str">
        <f>"25"</f>
        <v>25</v>
      </c>
      <c r="G931" s="2" t="str">
        <f t="shared" si="195"/>
        <v>E78660</v>
      </c>
      <c r="H931" s="2" t="str">
        <f t="shared" si="196"/>
        <v>가톨릭대학교 서울성모병원</v>
      </c>
      <c r="I931" s="2" t="str">
        <f t="shared" ref="I931:I948" si="204">"배치전"</f>
        <v>배치전</v>
      </c>
    </row>
    <row r="932" spans="1:9" x14ac:dyDescent="0.3">
      <c r="A932" s="2" t="str">
        <f t="shared" si="202"/>
        <v>20250423</v>
      </c>
      <c r="B932" s="2" t="str">
        <f>"40722575"</f>
        <v>40722575</v>
      </c>
      <c r="C932" s="2" t="str">
        <f>"김선하"</f>
        <v>김선하</v>
      </c>
      <c r="D932" s="2" t="str">
        <f t="shared" si="203"/>
        <v>F</v>
      </c>
      <c r="E932" s="2" t="str">
        <f>"19950316"</f>
        <v>19950316</v>
      </c>
      <c r="F932" s="2" t="str">
        <f>"30"</f>
        <v>30</v>
      </c>
      <c r="G932" s="2" t="str">
        <f t="shared" si="195"/>
        <v>E78660</v>
      </c>
      <c r="H932" s="2" t="str">
        <f t="shared" si="196"/>
        <v>가톨릭대학교 서울성모병원</v>
      </c>
      <c r="I932" s="2" t="str">
        <f t="shared" si="204"/>
        <v>배치전</v>
      </c>
    </row>
    <row r="933" spans="1:9" x14ac:dyDescent="0.3">
      <c r="A933" s="2" t="str">
        <f t="shared" si="202"/>
        <v>20250423</v>
      </c>
      <c r="B933" s="2" t="str">
        <f>"40722593"</f>
        <v>40722593</v>
      </c>
      <c r="C933" s="2" t="str">
        <f>"박효경"</f>
        <v>박효경</v>
      </c>
      <c r="D933" s="2" t="str">
        <f t="shared" si="203"/>
        <v>F</v>
      </c>
      <c r="E933" s="2" t="str">
        <f>"19961029"</f>
        <v>19961029</v>
      </c>
      <c r="F933" s="2" t="str">
        <f>"28"</f>
        <v>28</v>
      </c>
      <c r="G933" s="2" t="str">
        <f t="shared" si="195"/>
        <v>E78660</v>
      </c>
      <c r="H933" s="2" t="str">
        <f t="shared" si="196"/>
        <v>가톨릭대학교 서울성모병원</v>
      </c>
      <c r="I933" s="2" t="str">
        <f t="shared" si="204"/>
        <v>배치전</v>
      </c>
    </row>
    <row r="934" spans="1:9" x14ac:dyDescent="0.3">
      <c r="A934" s="2" t="str">
        <f t="shared" si="202"/>
        <v>20250423</v>
      </c>
      <c r="B934" s="2" t="str">
        <f>"40834491"</f>
        <v>40834491</v>
      </c>
      <c r="C934" s="2" t="str">
        <f>"이수민"</f>
        <v>이수민</v>
      </c>
      <c r="D934" s="2" t="str">
        <f t="shared" si="203"/>
        <v>F</v>
      </c>
      <c r="E934" s="2" t="str">
        <f>"20020621"</f>
        <v>20020621</v>
      </c>
      <c r="F934" s="2" t="str">
        <f>"22"</f>
        <v>22</v>
      </c>
      <c r="G934" s="2" t="str">
        <f t="shared" si="195"/>
        <v>E78660</v>
      </c>
      <c r="H934" s="2" t="str">
        <f t="shared" si="196"/>
        <v>가톨릭대학교 서울성모병원</v>
      </c>
      <c r="I934" s="2" t="str">
        <f t="shared" si="204"/>
        <v>배치전</v>
      </c>
    </row>
    <row r="935" spans="1:9" x14ac:dyDescent="0.3">
      <c r="A935" s="2" t="str">
        <f t="shared" si="202"/>
        <v>20250423</v>
      </c>
      <c r="B935" s="2" t="str">
        <f>"40867932"</f>
        <v>40867932</v>
      </c>
      <c r="C935" s="2" t="str">
        <f>"김진겸"</f>
        <v>김진겸</v>
      </c>
      <c r="D935" s="2" t="str">
        <f>"M"</f>
        <v>M</v>
      </c>
      <c r="E935" s="2" t="str">
        <f>"19960402"</f>
        <v>19960402</v>
      </c>
      <c r="F935" s="2" t="str">
        <f>"29"</f>
        <v>29</v>
      </c>
      <c r="G935" s="2" t="str">
        <f t="shared" si="195"/>
        <v>E78660</v>
      </c>
      <c r="H935" s="2" t="str">
        <f t="shared" si="196"/>
        <v>가톨릭대학교 서울성모병원</v>
      </c>
      <c r="I935" s="2" t="str">
        <f t="shared" si="204"/>
        <v>배치전</v>
      </c>
    </row>
    <row r="936" spans="1:9" x14ac:dyDescent="0.3">
      <c r="A936" s="2" t="str">
        <f t="shared" si="202"/>
        <v>20250423</v>
      </c>
      <c r="B936" s="2" t="str">
        <f>"40867943"</f>
        <v>40867943</v>
      </c>
      <c r="C936" s="2" t="str">
        <f>"조민혁"</f>
        <v>조민혁</v>
      </c>
      <c r="D936" s="2" t="str">
        <f>"M"</f>
        <v>M</v>
      </c>
      <c r="E936" s="2" t="str">
        <f>"20001213"</f>
        <v>20001213</v>
      </c>
      <c r="F936" s="2" t="str">
        <f>"24"</f>
        <v>24</v>
      </c>
      <c r="G936" s="2" t="str">
        <f t="shared" si="195"/>
        <v>E78660</v>
      </c>
      <c r="H936" s="2" t="str">
        <f t="shared" si="196"/>
        <v>가톨릭대학교 서울성모병원</v>
      </c>
      <c r="I936" s="2" t="str">
        <f t="shared" si="204"/>
        <v>배치전</v>
      </c>
    </row>
    <row r="937" spans="1:9" x14ac:dyDescent="0.3">
      <c r="A937" s="2" t="str">
        <f t="shared" si="202"/>
        <v>20250423</v>
      </c>
      <c r="B937" s="2" t="str">
        <f>"40874871"</f>
        <v>40874871</v>
      </c>
      <c r="C937" s="2" t="str">
        <f>"우석민"</f>
        <v>우석민</v>
      </c>
      <c r="D937" s="2" t="str">
        <f>"M"</f>
        <v>M</v>
      </c>
      <c r="E937" s="2" t="str">
        <f>"19980613"</f>
        <v>19980613</v>
      </c>
      <c r="F937" s="2" t="str">
        <f>"26"</f>
        <v>26</v>
      </c>
      <c r="G937" s="2" t="str">
        <f t="shared" si="195"/>
        <v>E78660</v>
      </c>
      <c r="H937" s="2" t="str">
        <f t="shared" si="196"/>
        <v>가톨릭대학교 서울성모병원</v>
      </c>
      <c r="I937" s="2" t="str">
        <f t="shared" si="204"/>
        <v>배치전</v>
      </c>
    </row>
    <row r="938" spans="1:9" x14ac:dyDescent="0.3">
      <c r="A938" s="2" t="str">
        <f>"20250429"</f>
        <v>20250429</v>
      </c>
      <c r="B938" s="2" t="str">
        <f>"25049644"</f>
        <v>25049644</v>
      </c>
      <c r="C938" s="2" t="str">
        <f>"이다혜"</f>
        <v>이다혜</v>
      </c>
      <c r="D938" s="2" t="str">
        <f>"F"</f>
        <v>F</v>
      </c>
      <c r="E938" s="2" t="str">
        <f>"19830407"</f>
        <v>19830407</v>
      </c>
      <c r="F938" s="2" t="str">
        <f>"42"</f>
        <v>42</v>
      </c>
      <c r="G938" s="2" t="str">
        <f t="shared" si="195"/>
        <v>E78660</v>
      </c>
      <c r="H938" s="2" t="str">
        <f t="shared" si="196"/>
        <v>가톨릭대학교 서울성모병원</v>
      </c>
      <c r="I938" s="2" t="str">
        <f t="shared" si="204"/>
        <v>배치전</v>
      </c>
    </row>
    <row r="939" spans="1:9" x14ac:dyDescent="0.3">
      <c r="A939" s="2" t="str">
        <f>"20250429"</f>
        <v>20250429</v>
      </c>
      <c r="B939" s="2" t="str">
        <f>"25058703"</f>
        <v>25058703</v>
      </c>
      <c r="C939" s="2" t="str">
        <f>"김효진"</f>
        <v>김효진</v>
      </c>
      <c r="D939" s="2" t="str">
        <f>"F"</f>
        <v>F</v>
      </c>
      <c r="E939" s="2" t="str">
        <f>"19860205"</f>
        <v>19860205</v>
      </c>
      <c r="F939" s="2" t="str">
        <f>"39"</f>
        <v>39</v>
      </c>
      <c r="G939" s="2" t="str">
        <f t="shared" si="195"/>
        <v>E78660</v>
      </c>
      <c r="H939" s="2" t="str">
        <f t="shared" si="196"/>
        <v>가톨릭대학교 서울성모병원</v>
      </c>
      <c r="I939" s="2" t="str">
        <f t="shared" si="204"/>
        <v>배치전</v>
      </c>
    </row>
    <row r="940" spans="1:9" x14ac:dyDescent="0.3">
      <c r="A940" s="2" t="str">
        <f>"20250429"</f>
        <v>20250429</v>
      </c>
      <c r="B940" s="2" t="str">
        <f>"39688695"</f>
        <v>39688695</v>
      </c>
      <c r="C940" s="2" t="str">
        <f>"허다겸"</f>
        <v>허다겸</v>
      </c>
      <c r="D940" s="2" t="str">
        <f>"F"</f>
        <v>F</v>
      </c>
      <c r="E940" s="2" t="str">
        <f>"19701115"</f>
        <v>19701115</v>
      </c>
      <c r="F940" s="2" t="str">
        <f>"54"</f>
        <v>54</v>
      </c>
      <c r="G940" s="2" t="str">
        <f t="shared" si="195"/>
        <v>E78660</v>
      </c>
      <c r="H940" s="2" t="str">
        <f t="shared" si="196"/>
        <v>가톨릭대학교 서울성모병원</v>
      </c>
      <c r="I940" s="2" t="str">
        <f t="shared" si="204"/>
        <v>배치전</v>
      </c>
    </row>
    <row r="941" spans="1:9" x14ac:dyDescent="0.3">
      <c r="A941" s="2" t="str">
        <f>"20250429"</f>
        <v>20250429</v>
      </c>
      <c r="B941" s="2" t="str">
        <f>"40223341"</f>
        <v>40223341</v>
      </c>
      <c r="C941" s="2" t="str">
        <f>"이혜경"</f>
        <v>이혜경</v>
      </c>
      <c r="D941" s="2" t="str">
        <f>"F"</f>
        <v>F</v>
      </c>
      <c r="E941" s="2" t="str">
        <f>"19671207"</f>
        <v>19671207</v>
      </c>
      <c r="F941" s="2" t="str">
        <f>"57"</f>
        <v>57</v>
      </c>
      <c r="G941" s="2" t="str">
        <f t="shared" si="195"/>
        <v>E78660</v>
      </c>
      <c r="H941" s="2" t="str">
        <f t="shared" si="196"/>
        <v>가톨릭대학교 서울성모병원</v>
      </c>
      <c r="I941" s="2" t="str">
        <f t="shared" si="204"/>
        <v>배치전</v>
      </c>
    </row>
    <row r="942" spans="1:9" x14ac:dyDescent="0.3">
      <c r="A942" s="2" t="str">
        <f>"20250429"</f>
        <v>20250429</v>
      </c>
      <c r="B942" s="2" t="str">
        <f>"40798680"</f>
        <v>40798680</v>
      </c>
      <c r="C942" s="2" t="str">
        <f>"백민아"</f>
        <v>백민아</v>
      </c>
      <c r="D942" s="2" t="str">
        <f>"F"</f>
        <v>F</v>
      </c>
      <c r="E942" s="2" t="str">
        <f>"20000222"</f>
        <v>20000222</v>
      </c>
      <c r="F942" s="2" t="str">
        <f>"25"</f>
        <v>25</v>
      </c>
      <c r="G942" s="2" t="str">
        <f t="shared" si="195"/>
        <v>E78660</v>
      </c>
      <c r="H942" s="2" t="str">
        <f t="shared" si="196"/>
        <v>가톨릭대학교 서울성모병원</v>
      </c>
      <c r="I942" s="2" t="str">
        <f t="shared" si="204"/>
        <v>배치전</v>
      </c>
    </row>
    <row r="943" spans="1:9" x14ac:dyDescent="0.3">
      <c r="A943" s="2" t="str">
        <f t="shared" ref="A943:A948" si="205">"20250430"</f>
        <v>20250430</v>
      </c>
      <c r="B943" s="2" t="str">
        <f>"20868836"</f>
        <v>20868836</v>
      </c>
      <c r="C943" s="2" t="str">
        <f>"박기웅"</f>
        <v>박기웅</v>
      </c>
      <c r="D943" s="2" t="str">
        <f>"M"</f>
        <v>M</v>
      </c>
      <c r="E943" s="2" t="str">
        <f>"19860424"</f>
        <v>19860424</v>
      </c>
      <c r="F943" s="2" t="str">
        <f>"39"</f>
        <v>39</v>
      </c>
      <c r="G943" s="2" t="str">
        <f t="shared" si="195"/>
        <v>E78660</v>
      </c>
      <c r="H943" s="2" t="str">
        <f t="shared" si="196"/>
        <v>가톨릭대학교 서울성모병원</v>
      </c>
      <c r="I943" s="2" t="str">
        <f t="shared" si="204"/>
        <v>배치전</v>
      </c>
    </row>
    <row r="944" spans="1:9" x14ac:dyDescent="0.3">
      <c r="A944" s="2" t="str">
        <f t="shared" si="205"/>
        <v>20250430</v>
      </c>
      <c r="B944" s="2" t="str">
        <f>"36152623"</f>
        <v>36152623</v>
      </c>
      <c r="C944" s="2" t="str">
        <f>"정민희"</f>
        <v>정민희</v>
      </c>
      <c r="D944" s="2" t="str">
        <f t="shared" ref="D944:D951" si="206">"F"</f>
        <v>F</v>
      </c>
      <c r="E944" s="2" t="str">
        <f>"19990111"</f>
        <v>19990111</v>
      </c>
      <c r="F944" s="2" t="str">
        <f>"26"</f>
        <v>26</v>
      </c>
      <c r="G944" s="2" t="str">
        <f t="shared" si="195"/>
        <v>E78660</v>
      </c>
      <c r="H944" s="2" t="str">
        <f t="shared" si="196"/>
        <v>가톨릭대학교 서울성모병원</v>
      </c>
      <c r="I944" s="2" t="str">
        <f t="shared" si="204"/>
        <v>배치전</v>
      </c>
    </row>
    <row r="945" spans="1:9" x14ac:dyDescent="0.3">
      <c r="A945" s="2" t="str">
        <f t="shared" si="205"/>
        <v>20250430</v>
      </c>
      <c r="B945" s="2" t="str">
        <f>"40722474"</f>
        <v>40722474</v>
      </c>
      <c r="C945" s="2" t="str">
        <f>"박준희"</f>
        <v>박준희</v>
      </c>
      <c r="D945" s="2" t="str">
        <f t="shared" si="206"/>
        <v>F</v>
      </c>
      <c r="E945" s="2" t="str">
        <f>"19960824"</f>
        <v>19960824</v>
      </c>
      <c r="F945" s="2" t="str">
        <f>"28"</f>
        <v>28</v>
      </c>
      <c r="G945" s="2" t="str">
        <f t="shared" si="195"/>
        <v>E78660</v>
      </c>
      <c r="H945" s="2" t="str">
        <f t="shared" si="196"/>
        <v>가톨릭대학교 서울성모병원</v>
      </c>
      <c r="I945" s="2" t="str">
        <f t="shared" si="204"/>
        <v>배치전</v>
      </c>
    </row>
    <row r="946" spans="1:9" x14ac:dyDescent="0.3">
      <c r="A946" s="2" t="str">
        <f t="shared" si="205"/>
        <v>20250430</v>
      </c>
      <c r="B946" s="2" t="str">
        <f>"40722495"</f>
        <v>40722495</v>
      </c>
      <c r="C946" s="2" t="str">
        <f>"윤지현"</f>
        <v>윤지현</v>
      </c>
      <c r="D946" s="2" t="str">
        <f t="shared" si="206"/>
        <v>F</v>
      </c>
      <c r="E946" s="2" t="str">
        <f>"19980528"</f>
        <v>19980528</v>
      </c>
      <c r="F946" s="2" t="str">
        <f>"26"</f>
        <v>26</v>
      </c>
      <c r="G946" s="2" t="str">
        <f t="shared" si="195"/>
        <v>E78660</v>
      </c>
      <c r="H946" s="2" t="str">
        <f t="shared" si="196"/>
        <v>가톨릭대학교 서울성모병원</v>
      </c>
      <c r="I946" s="2" t="str">
        <f t="shared" si="204"/>
        <v>배치전</v>
      </c>
    </row>
    <row r="947" spans="1:9" x14ac:dyDescent="0.3">
      <c r="A947" s="2" t="str">
        <f t="shared" si="205"/>
        <v>20250430</v>
      </c>
      <c r="B947" s="2" t="str">
        <f>"40722634"</f>
        <v>40722634</v>
      </c>
      <c r="C947" s="2" t="str">
        <f>"박서연"</f>
        <v>박서연</v>
      </c>
      <c r="D947" s="2" t="str">
        <f t="shared" si="206"/>
        <v>F</v>
      </c>
      <c r="E947" s="2" t="str">
        <f>"19990912"</f>
        <v>19990912</v>
      </c>
      <c r="F947" s="2" t="str">
        <f>"25"</f>
        <v>25</v>
      </c>
      <c r="G947" s="2" t="str">
        <f t="shared" si="195"/>
        <v>E78660</v>
      </c>
      <c r="H947" s="2" t="str">
        <f t="shared" si="196"/>
        <v>가톨릭대학교 서울성모병원</v>
      </c>
      <c r="I947" s="2" t="str">
        <f t="shared" si="204"/>
        <v>배치전</v>
      </c>
    </row>
    <row r="948" spans="1:9" x14ac:dyDescent="0.3">
      <c r="A948" s="2" t="str">
        <f t="shared" si="205"/>
        <v>20250430</v>
      </c>
      <c r="B948" s="2" t="str">
        <f>"40784154"</f>
        <v>40784154</v>
      </c>
      <c r="C948" s="2" t="str">
        <f>"안시현"</f>
        <v>안시현</v>
      </c>
      <c r="D948" s="2" t="str">
        <f t="shared" si="206"/>
        <v>F</v>
      </c>
      <c r="E948" s="2" t="str">
        <f>"20001202"</f>
        <v>20001202</v>
      </c>
      <c r="F948" s="2" t="str">
        <f>"24"</f>
        <v>24</v>
      </c>
      <c r="G948" s="2" t="str">
        <f t="shared" si="195"/>
        <v>E78660</v>
      </c>
      <c r="H948" s="2" t="str">
        <f t="shared" si="196"/>
        <v>가톨릭대학교 서울성모병원</v>
      </c>
      <c r="I948" s="2" t="str">
        <f t="shared" si="204"/>
        <v>배치전</v>
      </c>
    </row>
    <row r="949" spans="1:9" x14ac:dyDescent="0.3">
      <c r="A949" s="2" t="str">
        <f>"20250520"</f>
        <v>20250520</v>
      </c>
      <c r="B949" s="2" t="str">
        <f>"25313346"</f>
        <v>25313346</v>
      </c>
      <c r="C949" s="2" t="str">
        <f>"박성지"</f>
        <v>박성지</v>
      </c>
      <c r="D949" s="2" t="str">
        <f t="shared" si="206"/>
        <v>F</v>
      </c>
      <c r="E949" s="2" t="str">
        <f>"19910215"</f>
        <v>19910215</v>
      </c>
      <c r="F949" s="2" t="str">
        <f>"34"</f>
        <v>34</v>
      </c>
      <c r="G949" s="2" t="str">
        <f t="shared" si="195"/>
        <v>E78660</v>
      </c>
      <c r="H949" s="2" t="str">
        <f t="shared" si="196"/>
        <v>가톨릭대학교 서울성모병원</v>
      </c>
      <c r="I949" s="2" t="str">
        <f>"배치후"</f>
        <v>배치후</v>
      </c>
    </row>
    <row r="950" spans="1:9" x14ac:dyDescent="0.3">
      <c r="A950" s="2" t="str">
        <f>"20250520"</f>
        <v>20250520</v>
      </c>
      <c r="B950" s="2" t="str">
        <f>"31840083"</f>
        <v>31840083</v>
      </c>
      <c r="C950" s="2" t="str">
        <f>"박소영"</f>
        <v>박소영</v>
      </c>
      <c r="D950" s="2" t="str">
        <f t="shared" si="206"/>
        <v>F</v>
      </c>
      <c r="E950" s="2" t="str">
        <f>"19950411"</f>
        <v>19950411</v>
      </c>
      <c r="F950" s="2" t="str">
        <f>"30"</f>
        <v>30</v>
      </c>
      <c r="G950" s="2" t="str">
        <f t="shared" si="195"/>
        <v>E78660</v>
      </c>
      <c r="H950" s="2" t="str">
        <f t="shared" si="196"/>
        <v>가톨릭대학교 서울성모병원</v>
      </c>
      <c r="I950" s="2" t="str">
        <f>"배치전"</f>
        <v>배치전</v>
      </c>
    </row>
    <row r="951" spans="1:9" x14ac:dyDescent="0.3">
      <c r="A951" s="2" t="str">
        <f>"20250520"</f>
        <v>20250520</v>
      </c>
      <c r="B951" s="2" t="str">
        <f>"37661665"</f>
        <v>37661665</v>
      </c>
      <c r="C951" s="2" t="str">
        <f>"이윤주"</f>
        <v>이윤주</v>
      </c>
      <c r="D951" s="2" t="str">
        <f t="shared" si="206"/>
        <v>F</v>
      </c>
      <c r="E951" s="2" t="str">
        <f>"19980717"</f>
        <v>19980717</v>
      </c>
      <c r="F951" s="2" t="str">
        <f>"26"</f>
        <v>26</v>
      </c>
      <c r="G951" s="2" t="str">
        <f t="shared" si="195"/>
        <v>E78660</v>
      </c>
      <c r="H951" s="2" t="str">
        <f t="shared" si="196"/>
        <v>가톨릭대학교 서울성모병원</v>
      </c>
      <c r="I951" s="2" t="str">
        <f>"배치전"</f>
        <v>배치전</v>
      </c>
    </row>
    <row r="952" spans="1:9" x14ac:dyDescent="0.3">
      <c r="A952" s="2" t="str">
        <f>"20250520"</f>
        <v>20250520</v>
      </c>
      <c r="B952" s="2" t="str">
        <f>"40944223"</f>
        <v>40944223</v>
      </c>
      <c r="C952" s="2" t="str">
        <f>"전형룡"</f>
        <v>전형룡</v>
      </c>
      <c r="D952" s="2" t="str">
        <f>"M"</f>
        <v>M</v>
      </c>
      <c r="E952" s="2" t="str">
        <f>"19970812"</f>
        <v>19970812</v>
      </c>
      <c r="F952" s="2" t="str">
        <f>"27"</f>
        <v>27</v>
      </c>
      <c r="G952" s="2" t="str">
        <f t="shared" si="195"/>
        <v>E78660</v>
      </c>
      <c r="H952" s="2" t="str">
        <f t="shared" si="196"/>
        <v>가톨릭대학교 서울성모병원</v>
      </c>
      <c r="I952" s="2" t="str">
        <f>"배치전"</f>
        <v>배치전</v>
      </c>
    </row>
    <row r="953" spans="1:9" x14ac:dyDescent="0.3">
      <c r="A953" s="2" t="str">
        <f>"20250520"</f>
        <v>20250520</v>
      </c>
      <c r="B953" s="2" t="str">
        <f>"40951212"</f>
        <v>40951212</v>
      </c>
      <c r="C953" s="2" t="str">
        <f>"임수민"</f>
        <v>임수민</v>
      </c>
      <c r="D953" s="2" t="str">
        <f>"F"</f>
        <v>F</v>
      </c>
      <c r="E953" s="2" t="str">
        <f>"20011228"</f>
        <v>20011228</v>
      </c>
      <c r="F953" s="2" t="str">
        <f>"23"</f>
        <v>23</v>
      </c>
      <c r="G953" s="2" t="str">
        <f t="shared" si="195"/>
        <v>E78660</v>
      </c>
      <c r="H953" s="2" t="str">
        <f t="shared" si="196"/>
        <v>가톨릭대학교 서울성모병원</v>
      </c>
      <c r="I953" s="2" t="str">
        <f>"배치전"</f>
        <v>배치전</v>
      </c>
    </row>
    <row r="954" spans="1:9" x14ac:dyDescent="0.3">
      <c r="A954" s="2" t="str">
        <f t="shared" ref="A954:A965" si="207">"20250521"</f>
        <v>20250521</v>
      </c>
      <c r="B954" s="2" t="str">
        <f>"10871556"</f>
        <v>10871556</v>
      </c>
      <c r="C954" s="2" t="str">
        <f>"김영광"</f>
        <v>김영광</v>
      </c>
      <c r="D954" s="2" t="str">
        <f>"M"</f>
        <v>M</v>
      </c>
      <c r="E954" s="2" t="str">
        <f>"19730224"</f>
        <v>19730224</v>
      </c>
      <c r="F954" s="2" t="str">
        <f>"52"</f>
        <v>52</v>
      </c>
      <c r="G954" s="2" t="str">
        <f t="shared" si="195"/>
        <v>E78660</v>
      </c>
      <c r="H954" s="2" t="str">
        <f t="shared" si="196"/>
        <v>가톨릭대학교 서울성모병원</v>
      </c>
      <c r="I954" s="2" t="str">
        <f>"배치후"</f>
        <v>배치후</v>
      </c>
    </row>
    <row r="955" spans="1:9" x14ac:dyDescent="0.3">
      <c r="A955" s="2" t="str">
        <f t="shared" si="207"/>
        <v>20250521</v>
      </c>
      <c r="B955" s="2" t="str">
        <f>"25051912"</f>
        <v>25051912</v>
      </c>
      <c r="C955" s="2" t="str">
        <f>"위은별"</f>
        <v>위은별</v>
      </c>
      <c r="D955" s="2" t="str">
        <f>"F"</f>
        <v>F</v>
      </c>
      <c r="E955" s="2" t="str">
        <f>"19930406"</f>
        <v>19930406</v>
      </c>
      <c r="F955" s="2" t="str">
        <f>"32"</f>
        <v>32</v>
      </c>
      <c r="G955" s="2" t="str">
        <f t="shared" si="195"/>
        <v>E78660</v>
      </c>
      <c r="H955" s="2" t="str">
        <f t="shared" si="196"/>
        <v>가톨릭대학교 서울성모병원</v>
      </c>
      <c r="I955" s="2" t="str">
        <f>"배치전"</f>
        <v>배치전</v>
      </c>
    </row>
    <row r="956" spans="1:9" x14ac:dyDescent="0.3">
      <c r="A956" s="2" t="str">
        <f t="shared" si="207"/>
        <v>20250521</v>
      </c>
      <c r="B956" s="2" t="str">
        <f>"29315681"</f>
        <v>29315681</v>
      </c>
      <c r="C956" s="2" t="str">
        <f>"주지아"</f>
        <v>주지아</v>
      </c>
      <c r="D956" s="2" t="str">
        <f>"F"</f>
        <v>F</v>
      </c>
      <c r="E956" s="2" t="str">
        <f>"19920802"</f>
        <v>19920802</v>
      </c>
      <c r="F956" s="2" t="str">
        <f>"32"</f>
        <v>32</v>
      </c>
      <c r="G956" s="2" t="str">
        <f t="shared" si="195"/>
        <v>E78660</v>
      </c>
      <c r="H956" s="2" t="str">
        <f t="shared" si="196"/>
        <v>가톨릭대학교 서울성모병원</v>
      </c>
      <c r="I956" s="2" t="str">
        <f>"배치후"</f>
        <v>배치후</v>
      </c>
    </row>
    <row r="957" spans="1:9" x14ac:dyDescent="0.3">
      <c r="A957" s="2" t="str">
        <f t="shared" si="207"/>
        <v>20250521</v>
      </c>
      <c r="B957" s="2" t="str">
        <f>"39648896"</f>
        <v>39648896</v>
      </c>
      <c r="C957" s="2" t="str">
        <f>"서영일"</f>
        <v>서영일</v>
      </c>
      <c r="D957" s="2" t="str">
        <f>"M"</f>
        <v>M</v>
      </c>
      <c r="E957" s="2" t="str">
        <f>"19930215"</f>
        <v>19930215</v>
      </c>
      <c r="F957" s="2" t="str">
        <f>"32"</f>
        <v>32</v>
      </c>
      <c r="G957" s="2" t="str">
        <f t="shared" si="195"/>
        <v>E78660</v>
      </c>
      <c r="H957" s="2" t="str">
        <f t="shared" si="196"/>
        <v>가톨릭대학교 서울성모병원</v>
      </c>
      <c r="I957" s="2" t="str">
        <f>"배치전"</f>
        <v>배치전</v>
      </c>
    </row>
    <row r="958" spans="1:9" x14ac:dyDescent="0.3">
      <c r="A958" s="2" t="str">
        <f t="shared" si="207"/>
        <v>20250521</v>
      </c>
      <c r="B958" s="2" t="str">
        <f>"39712724"</f>
        <v>39712724</v>
      </c>
      <c r="C958" s="2" t="str">
        <f>"이서연"</f>
        <v>이서연</v>
      </c>
      <c r="D958" s="2" t="str">
        <f>"F"</f>
        <v>F</v>
      </c>
      <c r="E958" s="2" t="str">
        <f>"20001030"</f>
        <v>20001030</v>
      </c>
      <c r="F958" s="2" t="str">
        <f>"24"</f>
        <v>24</v>
      </c>
      <c r="G958" s="2" t="str">
        <f t="shared" si="195"/>
        <v>E78660</v>
      </c>
      <c r="H958" s="2" t="str">
        <f t="shared" si="196"/>
        <v>가톨릭대학교 서울성모병원</v>
      </c>
      <c r="I958" s="2" t="str">
        <f>"배치후"</f>
        <v>배치후</v>
      </c>
    </row>
    <row r="959" spans="1:9" x14ac:dyDescent="0.3">
      <c r="A959" s="2" t="str">
        <f t="shared" si="207"/>
        <v>20250521</v>
      </c>
      <c r="B959" s="2" t="str">
        <f>"40722532"</f>
        <v>40722532</v>
      </c>
      <c r="C959" s="2" t="str">
        <f>"이지예"</f>
        <v>이지예</v>
      </c>
      <c r="D959" s="2" t="str">
        <f>"F"</f>
        <v>F</v>
      </c>
      <c r="E959" s="2" t="str">
        <f>"19950710"</f>
        <v>19950710</v>
      </c>
      <c r="F959" s="2" t="str">
        <f>"29"</f>
        <v>29</v>
      </c>
      <c r="G959" s="2" t="str">
        <f t="shared" si="195"/>
        <v>E78660</v>
      </c>
      <c r="H959" s="2" t="str">
        <f t="shared" si="196"/>
        <v>가톨릭대학교 서울성모병원</v>
      </c>
      <c r="I959" s="2" t="str">
        <f t="shared" ref="I959:I965" si="208">"배치전"</f>
        <v>배치전</v>
      </c>
    </row>
    <row r="960" spans="1:9" x14ac:dyDescent="0.3">
      <c r="A960" s="2" t="str">
        <f t="shared" si="207"/>
        <v>20250521</v>
      </c>
      <c r="B960" s="2" t="str">
        <f>"40740953"</f>
        <v>40740953</v>
      </c>
      <c r="C960" s="2" t="str">
        <f>"김준식"</f>
        <v>김준식</v>
      </c>
      <c r="D960" s="2" t="str">
        <f>"M"</f>
        <v>M</v>
      </c>
      <c r="E960" s="2" t="str">
        <f>"19951107"</f>
        <v>19951107</v>
      </c>
      <c r="F960" s="2" t="str">
        <f>"29"</f>
        <v>29</v>
      </c>
      <c r="G960" s="2" t="str">
        <f t="shared" si="195"/>
        <v>E78660</v>
      </c>
      <c r="H960" s="2" t="str">
        <f t="shared" si="196"/>
        <v>가톨릭대학교 서울성모병원</v>
      </c>
      <c r="I960" s="2" t="str">
        <f t="shared" si="208"/>
        <v>배치전</v>
      </c>
    </row>
    <row r="961" spans="1:9" x14ac:dyDescent="0.3">
      <c r="A961" s="2" t="str">
        <f t="shared" si="207"/>
        <v>20250521</v>
      </c>
      <c r="B961" s="2" t="str">
        <f>"40746245"</f>
        <v>40746245</v>
      </c>
      <c r="C961" s="2" t="str">
        <f>"이다은"</f>
        <v>이다은</v>
      </c>
      <c r="D961" s="2" t="str">
        <f>"F"</f>
        <v>F</v>
      </c>
      <c r="E961" s="2" t="str">
        <f>"19920930"</f>
        <v>19920930</v>
      </c>
      <c r="F961" s="2" t="str">
        <f>"32"</f>
        <v>32</v>
      </c>
      <c r="G961" s="2" t="str">
        <f t="shared" si="195"/>
        <v>E78660</v>
      </c>
      <c r="H961" s="2" t="str">
        <f t="shared" si="196"/>
        <v>가톨릭대학교 서울성모병원</v>
      </c>
      <c r="I961" s="2" t="str">
        <f t="shared" si="208"/>
        <v>배치전</v>
      </c>
    </row>
    <row r="962" spans="1:9" x14ac:dyDescent="0.3">
      <c r="A962" s="2" t="str">
        <f t="shared" si="207"/>
        <v>20250521</v>
      </c>
      <c r="B962" s="2" t="str">
        <f>"40774052"</f>
        <v>40774052</v>
      </c>
      <c r="C962" s="2" t="str">
        <f>"우다연"</f>
        <v>우다연</v>
      </c>
      <c r="D962" s="2" t="str">
        <f>"F"</f>
        <v>F</v>
      </c>
      <c r="E962" s="2" t="str">
        <f>"19990521"</f>
        <v>19990521</v>
      </c>
      <c r="F962" s="2" t="str">
        <f>"26"</f>
        <v>26</v>
      </c>
      <c r="G962" s="2" t="str">
        <f t="shared" si="195"/>
        <v>E78660</v>
      </c>
      <c r="H962" s="2" t="str">
        <f t="shared" si="196"/>
        <v>가톨릭대학교 서울성모병원</v>
      </c>
      <c r="I962" s="2" t="str">
        <f t="shared" si="208"/>
        <v>배치전</v>
      </c>
    </row>
    <row r="963" spans="1:9" x14ac:dyDescent="0.3">
      <c r="A963" s="2" t="str">
        <f t="shared" si="207"/>
        <v>20250521</v>
      </c>
      <c r="B963" s="2" t="str">
        <f>"40774070"</f>
        <v>40774070</v>
      </c>
      <c r="C963" s="2" t="str">
        <f>"백상원"</f>
        <v>백상원</v>
      </c>
      <c r="D963" s="2" t="str">
        <f>"M"</f>
        <v>M</v>
      </c>
      <c r="E963" s="2" t="str">
        <f>"19940415"</f>
        <v>19940415</v>
      </c>
      <c r="F963" s="2" t="str">
        <f>"31"</f>
        <v>31</v>
      </c>
      <c r="G963" s="2" t="str">
        <f t="shared" si="195"/>
        <v>E78660</v>
      </c>
      <c r="H963" s="2" t="str">
        <f t="shared" si="196"/>
        <v>가톨릭대학교 서울성모병원</v>
      </c>
      <c r="I963" s="2" t="str">
        <f t="shared" si="208"/>
        <v>배치전</v>
      </c>
    </row>
    <row r="964" spans="1:9" x14ac:dyDescent="0.3">
      <c r="A964" s="2" t="str">
        <f t="shared" si="207"/>
        <v>20250521</v>
      </c>
      <c r="B964" s="2" t="str">
        <f>"40944161"</f>
        <v>40944161</v>
      </c>
      <c r="C964" s="2" t="str">
        <f>"서진욱"</f>
        <v>서진욱</v>
      </c>
      <c r="D964" s="2" t="str">
        <f>"M"</f>
        <v>M</v>
      </c>
      <c r="E964" s="2" t="str">
        <f>"20001115"</f>
        <v>20001115</v>
      </c>
      <c r="F964" s="2" t="str">
        <f>"24"</f>
        <v>24</v>
      </c>
      <c r="G964" s="2" t="str">
        <f t="shared" si="195"/>
        <v>E78660</v>
      </c>
      <c r="H964" s="2" t="str">
        <f t="shared" si="196"/>
        <v>가톨릭대학교 서울성모병원</v>
      </c>
      <c r="I964" s="2" t="str">
        <f t="shared" si="208"/>
        <v>배치전</v>
      </c>
    </row>
    <row r="965" spans="1:9" x14ac:dyDescent="0.3">
      <c r="A965" s="2" t="str">
        <f t="shared" si="207"/>
        <v>20250521</v>
      </c>
      <c r="B965" s="2" t="str">
        <f>"40944170"</f>
        <v>40944170</v>
      </c>
      <c r="C965" s="2" t="str">
        <f>"이예지"</f>
        <v>이예지</v>
      </c>
      <c r="D965" s="2" t="str">
        <f t="shared" ref="D965:D975" si="209">"F"</f>
        <v>F</v>
      </c>
      <c r="E965" s="2" t="str">
        <f>"19980814"</f>
        <v>19980814</v>
      </c>
      <c r="F965" s="2" t="str">
        <f>"26"</f>
        <v>26</v>
      </c>
      <c r="G965" s="2" t="str">
        <f t="shared" ref="G965:G1028" si="210">"E78660"</f>
        <v>E78660</v>
      </c>
      <c r="H965" s="2" t="str">
        <f t="shared" ref="H965:H1028" si="211">"가톨릭대학교 서울성모병원"</f>
        <v>가톨릭대학교 서울성모병원</v>
      </c>
      <c r="I965" s="2" t="str">
        <f t="shared" si="208"/>
        <v>배치전</v>
      </c>
    </row>
    <row r="966" spans="1:9" x14ac:dyDescent="0.3">
      <c r="A966" s="2" t="str">
        <f t="shared" ref="A966:A972" si="212">"20250527"</f>
        <v>20250527</v>
      </c>
      <c r="B966" s="2" t="str">
        <f>"19741413"</f>
        <v>19741413</v>
      </c>
      <c r="C966" s="2" t="str">
        <f>"조민경"</f>
        <v>조민경</v>
      </c>
      <c r="D966" s="2" t="str">
        <f t="shared" si="209"/>
        <v>F</v>
      </c>
      <c r="E966" s="2" t="str">
        <f>"19860607"</f>
        <v>19860607</v>
      </c>
      <c r="F966" s="2" t="str">
        <f>"38"</f>
        <v>38</v>
      </c>
      <c r="G966" s="2" t="str">
        <f t="shared" si="210"/>
        <v>E78660</v>
      </c>
      <c r="H966" s="2" t="str">
        <f t="shared" si="211"/>
        <v>가톨릭대학교 서울성모병원</v>
      </c>
      <c r="I966" s="2" t="str">
        <f>"배치후"</f>
        <v>배치후</v>
      </c>
    </row>
    <row r="967" spans="1:9" x14ac:dyDescent="0.3">
      <c r="A967" s="2" t="str">
        <f t="shared" si="212"/>
        <v>20250527</v>
      </c>
      <c r="B967" s="2" t="str">
        <f>"32007531"</f>
        <v>32007531</v>
      </c>
      <c r="C967" s="2" t="str">
        <f>"원자경"</f>
        <v>원자경</v>
      </c>
      <c r="D967" s="2" t="str">
        <f t="shared" si="209"/>
        <v>F</v>
      </c>
      <c r="E967" s="2" t="str">
        <f>"19980403"</f>
        <v>19980403</v>
      </c>
      <c r="F967" s="2" t="str">
        <f>"27"</f>
        <v>27</v>
      </c>
      <c r="G967" s="2" t="str">
        <f t="shared" si="210"/>
        <v>E78660</v>
      </c>
      <c r="H967" s="2" t="str">
        <f t="shared" si="211"/>
        <v>가톨릭대학교 서울성모병원</v>
      </c>
      <c r="I967" s="2" t="str">
        <f>"배치전"</f>
        <v>배치전</v>
      </c>
    </row>
    <row r="968" spans="1:9" x14ac:dyDescent="0.3">
      <c r="A968" s="2" t="str">
        <f t="shared" si="212"/>
        <v>20250527</v>
      </c>
      <c r="B968" s="2" t="str">
        <f>"35142373"</f>
        <v>35142373</v>
      </c>
      <c r="C968" s="2" t="str">
        <f>"배나연"</f>
        <v>배나연</v>
      </c>
      <c r="D968" s="2" t="str">
        <f t="shared" si="209"/>
        <v>F</v>
      </c>
      <c r="E968" s="2" t="str">
        <f>"20011118"</f>
        <v>20011118</v>
      </c>
      <c r="F968" s="2" t="str">
        <f>"23"</f>
        <v>23</v>
      </c>
      <c r="G968" s="2" t="str">
        <f t="shared" si="210"/>
        <v>E78660</v>
      </c>
      <c r="H968" s="2" t="str">
        <f t="shared" si="211"/>
        <v>가톨릭대학교 서울성모병원</v>
      </c>
      <c r="I968" s="2" t="str">
        <f>"배치후"</f>
        <v>배치후</v>
      </c>
    </row>
    <row r="969" spans="1:9" x14ac:dyDescent="0.3">
      <c r="A969" s="2" t="str">
        <f t="shared" si="212"/>
        <v>20250527</v>
      </c>
      <c r="B969" s="2" t="str">
        <f>"35142396"</f>
        <v>35142396</v>
      </c>
      <c r="C969" s="2" t="str">
        <f>"백가온"</f>
        <v>백가온</v>
      </c>
      <c r="D969" s="2" t="str">
        <f t="shared" si="209"/>
        <v>F</v>
      </c>
      <c r="E969" s="2" t="str">
        <f>"20010312"</f>
        <v>20010312</v>
      </c>
      <c r="F969" s="2" t="str">
        <f>"24"</f>
        <v>24</v>
      </c>
      <c r="G969" s="2" t="str">
        <f t="shared" si="210"/>
        <v>E78660</v>
      </c>
      <c r="H969" s="2" t="str">
        <f t="shared" si="211"/>
        <v>가톨릭대학교 서울성모병원</v>
      </c>
      <c r="I969" s="2" t="str">
        <f t="shared" ref="I969:I975" si="213">"배치전"</f>
        <v>배치전</v>
      </c>
    </row>
    <row r="970" spans="1:9" x14ac:dyDescent="0.3">
      <c r="A970" s="2" t="str">
        <f t="shared" si="212"/>
        <v>20250527</v>
      </c>
      <c r="B970" s="2" t="str">
        <f>"35733095"</f>
        <v>35733095</v>
      </c>
      <c r="C970" s="2" t="str">
        <f>"정희원"</f>
        <v>정희원</v>
      </c>
      <c r="D970" s="2" t="str">
        <f t="shared" si="209"/>
        <v>F</v>
      </c>
      <c r="E970" s="2" t="str">
        <f>"20020703"</f>
        <v>20020703</v>
      </c>
      <c r="F970" s="2" t="str">
        <f>"22"</f>
        <v>22</v>
      </c>
      <c r="G970" s="2" t="str">
        <f t="shared" si="210"/>
        <v>E78660</v>
      </c>
      <c r="H970" s="2" t="str">
        <f t="shared" si="211"/>
        <v>가톨릭대학교 서울성모병원</v>
      </c>
      <c r="I970" s="2" t="str">
        <f t="shared" si="213"/>
        <v>배치전</v>
      </c>
    </row>
    <row r="971" spans="1:9" x14ac:dyDescent="0.3">
      <c r="A971" s="2" t="str">
        <f t="shared" si="212"/>
        <v>20250527</v>
      </c>
      <c r="B971" s="2" t="str">
        <f>"40944143"</f>
        <v>40944143</v>
      </c>
      <c r="C971" s="2" t="str">
        <f>"김지솔"</f>
        <v>김지솔</v>
      </c>
      <c r="D971" s="2" t="str">
        <f t="shared" si="209"/>
        <v>F</v>
      </c>
      <c r="E971" s="2" t="str">
        <f>"19970630"</f>
        <v>19970630</v>
      </c>
      <c r="F971" s="2" t="str">
        <f>"27"</f>
        <v>27</v>
      </c>
      <c r="G971" s="2" t="str">
        <f t="shared" si="210"/>
        <v>E78660</v>
      </c>
      <c r="H971" s="2" t="str">
        <f t="shared" si="211"/>
        <v>가톨릭대학교 서울성모병원</v>
      </c>
      <c r="I971" s="2" t="str">
        <f t="shared" si="213"/>
        <v>배치전</v>
      </c>
    </row>
    <row r="972" spans="1:9" x14ac:dyDescent="0.3">
      <c r="A972" s="2" t="str">
        <f t="shared" si="212"/>
        <v>20250527</v>
      </c>
      <c r="B972" s="2" t="str">
        <f>"40972756"</f>
        <v>40972756</v>
      </c>
      <c r="C972" s="2" t="str">
        <f>"서지수"</f>
        <v>서지수</v>
      </c>
      <c r="D972" s="2" t="str">
        <f t="shared" si="209"/>
        <v>F</v>
      </c>
      <c r="E972" s="2" t="str">
        <f>"20000412"</f>
        <v>20000412</v>
      </c>
      <c r="F972" s="2" t="str">
        <f>"25"</f>
        <v>25</v>
      </c>
      <c r="G972" s="2" t="str">
        <f t="shared" si="210"/>
        <v>E78660</v>
      </c>
      <c r="H972" s="2" t="str">
        <f t="shared" si="211"/>
        <v>가톨릭대학교 서울성모병원</v>
      </c>
      <c r="I972" s="2" t="str">
        <f t="shared" si="213"/>
        <v>배치전</v>
      </c>
    </row>
    <row r="973" spans="1:9" x14ac:dyDescent="0.3">
      <c r="A973" s="2" t="str">
        <f t="shared" ref="A973:A983" si="214">"20250528"</f>
        <v>20250528</v>
      </c>
      <c r="B973" s="2" t="str">
        <f>"17966830"</f>
        <v>17966830</v>
      </c>
      <c r="C973" s="2" t="str">
        <f>"최민영"</f>
        <v>최민영</v>
      </c>
      <c r="D973" s="2" t="str">
        <f t="shared" si="209"/>
        <v>F</v>
      </c>
      <c r="E973" s="2" t="str">
        <f>"19950429"</f>
        <v>19950429</v>
      </c>
      <c r="F973" s="2" t="str">
        <f>"30"</f>
        <v>30</v>
      </c>
      <c r="G973" s="2" t="str">
        <f t="shared" si="210"/>
        <v>E78660</v>
      </c>
      <c r="H973" s="2" t="str">
        <f t="shared" si="211"/>
        <v>가톨릭대학교 서울성모병원</v>
      </c>
      <c r="I973" s="2" t="str">
        <f t="shared" si="213"/>
        <v>배치전</v>
      </c>
    </row>
    <row r="974" spans="1:9" x14ac:dyDescent="0.3">
      <c r="A974" s="2" t="str">
        <f t="shared" si="214"/>
        <v>20250528</v>
      </c>
      <c r="B974" s="2" t="str">
        <f>"19744320"</f>
        <v>19744320</v>
      </c>
      <c r="C974" s="2" t="str">
        <f>"권오은"</f>
        <v>권오은</v>
      </c>
      <c r="D974" s="2" t="str">
        <f t="shared" si="209"/>
        <v>F</v>
      </c>
      <c r="E974" s="2" t="str">
        <f>"19840219"</f>
        <v>19840219</v>
      </c>
      <c r="F974" s="2" t="str">
        <f>"41"</f>
        <v>41</v>
      </c>
      <c r="G974" s="2" t="str">
        <f t="shared" si="210"/>
        <v>E78660</v>
      </c>
      <c r="H974" s="2" t="str">
        <f t="shared" si="211"/>
        <v>가톨릭대학교 서울성모병원</v>
      </c>
      <c r="I974" s="2" t="str">
        <f t="shared" si="213"/>
        <v>배치전</v>
      </c>
    </row>
    <row r="975" spans="1:9" x14ac:dyDescent="0.3">
      <c r="A975" s="2" t="str">
        <f t="shared" si="214"/>
        <v>20250528</v>
      </c>
      <c r="B975" s="2" t="str">
        <f>"30748694"</f>
        <v>30748694</v>
      </c>
      <c r="C975" s="2" t="str">
        <f>"사예지"</f>
        <v>사예지</v>
      </c>
      <c r="D975" s="2" t="str">
        <f t="shared" si="209"/>
        <v>F</v>
      </c>
      <c r="E975" s="2" t="str">
        <f>"19910930"</f>
        <v>19910930</v>
      </c>
      <c r="F975" s="2" t="str">
        <f>"33"</f>
        <v>33</v>
      </c>
      <c r="G975" s="2" t="str">
        <f t="shared" si="210"/>
        <v>E78660</v>
      </c>
      <c r="H975" s="2" t="str">
        <f t="shared" si="211"/>
        <v>가톨릭대학교 서울성모병원</v>
      </c>
      <c r="I975" s="2" t="str">
        <f t="shared" si="213"/>
        <v>배치전</v>
      </c>
    </row>
    <row r="976" spans="1:9" x14ac:dyDescent="0.3">
      <c r="A976" s="2" t="str">
        <f t="shared" si="214"/>
        <v>20250528</v>
      </c>
      <c r="B976" s="2" t="str">
        <f>"32007961"</f>
        <v>32007961</v>
      </c>
      <c r="C976" s="2" t="str">
        <f>"김상역"</f>
        <v>김상역</v>
      </c>
      <c r="D976" s="2" t="str">
        <f>"M"</f>
        <v>M</v>
      </c>
      <c r="E976" s="2" t="str">
        <f>"19990611"</f>
        <v>19990611</v>
      </c>
      <c r="F976" s="2" t="str">
        <f>"25"</f>
        <v>25</v>
      </c>
      <c r="G976" s="2" t="str">
        <f t="shared" si="210"/>
        <v>E78660</v>
      </c>
      <c r="H976" s="2" t="str">
        <f t="shared" si="211"/>
        <v>가톨릭대학교 서울성모병원</v>
      </c>
      <c r="I976" s="2" t="str">
        <f>"배치후"</f>
        <v>배치후</v>
      </c>
    </row>
    <row r="977" spans="1:9" x14ac:dyDescent="0.3">
      <c r="A977" s="2" t="str">
        <f t="shared" si="214"/>
        <v>20250528</v>
      </c>
      <c r="B977" s="2" t="str">
        <f>"36619424"</f>
        <v>36619424</v>
      </c>
      <c r="C977" s="2" t="str">
        <f>"박성필"</f>
        <v>박성필</v>
      </c>
      <c r="D977" s="2" t="str">
        <f>"M"</f>
        <v>M</v>
      </c>
      <c r="E977" s="2" t="str">
        <f>"19920710"</f>
        <v>19920710</v>
      </c>
      <c r="F977" s="2" t="str">
        <f>"32"</f>
        <v>32</v>
      </c>
      <c r="G977" s="2" t="str">
        <f t="shared" si="210"/>
        <v>E78660</v>
      </c>
      <c r="H977" s="2" t="str">
        <f t="shared" si="211"/>
        <v>가톨릭대학교 서울성모병원</v>
      </c>
      <c r="I977" s="2" t="str">
        <f>"배치전"</f>
        <v>배치전</v>
      </c>
    </row>
    <row r="978" spans="1:9" x14ac:dyDescent="0.3">
      <c r="A978" s="2" t="str">
        <f t="shared" si="214"/>
        <v>20250528</v>
      </c>
      <c r="B978" s="2" t="str">
        <f>"38351676"</f>
        <v>38351676</v>
      </c>
      <c r="C978" s="2" t="str">
        <f>"이수진"</f>
        <v>이수진</v>
      </c>
      <c r="D978" s="2" t="str">
        <f t="shared" ref="D978:D983" si="215">"F"</f>
        <v>F</v>
      </c>
      <c r="E978" s="2" t="str">
        <f>"19941215"</f>
        <v>19941215</v>
      </c>
      <c r="F978" s="2" t="str">
        <f>"30"</f>
        <v>30</v>
      </c>
      <c r="G978" s="2" t="str">
        <f t="shared" si="210"/>
        <v>E78660</v>
      </c>
      <c r="H978" s="2" t="str">
        <f t="shared" si="211"/>
        <v>가톨릭대학교 서울성모병원</v>
      </c>
      <c r="I978" s="2" t="str">
        <f>"배치전"</f>
        <v>배치전</v>
      </c>
    </row>
    <row r="979" spans="1:9" x14ac:dyDescent="0.3">
      <c r="A979" s="2" t="str">
        <f t="shared" si="214"/>
        <v>20250528</v>
      </c>
      <c r="B979" s="2" t="str">
        <f>"40404741"</f>
        <v>40404741</v>
      </c>
      <c r="C979" s="2" t="str">
        <f>"정소현"</f>
        <v>정소현</v>
      </c>
      <c r="D979" s="2" t="str">
        <f t="shared" si="215"/>
        <v>F</v>
      </c>
      <c r="E979" s="2" t="str">
        <f>"19940705"</f>
        <v>19940705</v>
      </c>
      <c r="F979" s="2" t="str">
        <f>"30"</f>
        <v>30</v>
      </c>
      <c r="G979" s="2" t="str">
        <f t="shared" si="210"/>
        <v>E78660</v>
      </c>
      <c r="H979" s="2" t="str">
        <f t="shared" si="211"/>
        <v>가톨릭대학교 서울성모병원</v>
      </c>
      <c r="I979" s="2" t="str">
        <f>"배치후"</f>
        <v>배치후</v>
      </c>
    </row>
    <row r="980" spans="1:9" x14ac:dyDescent="0.3">
      <c r="A980" s="2" t="str">
        <f t="shared" si="214"/>
        <v>20250528</v>
      </c>
      <c r="B980" s="2" t="str">
        <f>"40406951"</f>
        <v>40406951</v>
      </c>
      <c r="C980" s="2" t="str">
        <f>"김다현"</f>
        <v>김다현</v>
      </c>
      <c r="D980" s="2" t="str">
        <f t="shared" si="215"/>
        <v>F</v>
      </c>
      <c r="E980" s="2" t="str">
        <f>"20001011"</f>
        <v>20001011</v>
      </c>
      <c r="F980" s="2" t="str">
        <f>"24"</f>
        <v>24</v>
      </c>
      <c r="G980" s="2" t="str">
        <f t="shared" si="210"/>
        <v>E78660</v>
      </c>
      <c r="H980" s="2" t="str">
        <f t="shared" si="211"/>
        <v>가톨릭대학교 서울성모병원</v>
      </c>
      <c r="I980" s="2" t="str">
        <f>"배치후"</f>
        <v>배치후</v>
      </c>
    </row>
    <row r="981" spans="1:9" x14ac:dyDescent="0.3">
      <c r="A981" s="2" t="str">
        <f t="shared" si="214"/>
        <v>20250528</v>
      </c>
      <c r="B981" s="2" t="str">
        <f>"40722521"</f>
        <v>40722521</v>
      </c>
      <c r="C981" s="2" t="str">
        <f>"유지민"</f>
        <v>유지민</v>
      </c>
      <c r="D981" s="2" t="str">
        <f t="shared" si="215"/>
        <v>F</v>
      </c>
      <c r="E981" s="2" t="str">
        <f>"19990322"</f>
        <v>19990322</v>
      </c>
      <c r="F981" s="2" t="str">
        <f>"26"</f>
        <v>26</v>
      </c>
      <c r="G981" s="2" t="str">
        <f t="shared" si="210"/>
        <v>E78660</v>
      </c>
      <c r="H981" s="2" t="str">
        <f t="shared" si="211"/>
        <v>가톨릭대학교 서울성모병원</v>
      </c>
      <c r="I981" s="2" t="str">
        <f>"배치전"</f>
        <v>배치전</v>
      </c>
    </row>
    <row r="982" spans="1:9" x14ac:dyDescent="0.3">
      <c r="A982" s="2" t="str">
        <f t="shared" si="214"/>
        <v>20250528</v>
      </c>
      <c r="B982" s="2" t="str">
        <f>"40722601"</f>
        <v>40722601</v>
      </c>
      <c r="C982" s="2" t="str">
        <f>"임민지"</f>
        <v>임민지</v>
      </c>
      <c r="D982" s="2" t="str">
        <f t="shared" si="215"/>
        <v>F</v>
      </c>
      <c r="E982" s="2" t="str">
        <f>"19960531"</f>
        <v>19960531</v>
      </c>
      <c r="F982" s="2" t="str">
        <f>"29"</f>
        <v>29</v>
      </c>
      <c r="G982" s="2" t="str">
        <f t="shared" si="210"/>
        <v>E78660</v>
      </c>
      <c r="H982" s="2" t="str">
        <f t="shared" si="211"/>
        <v>가톨릭대학교 서울성모병원</v>
      </c>
      <c r="I982" s="2" t="str">
        <f>"배치전"</f>
        <v>배치전</v>
      </c>
    </row>
    <row r="983" spans="1:9" x14ac:dyDescent="0.3">
      <c r="A983" s="2" t="str">
        <f t="shared" si="214"/>
        <v>20250528</v>
      </c>
      <c r="B983" s="2" t="str">
        <f>"40955031"</f>
        <v>40955031</v>
      </c>
      <c r="C983" s="2" t="str">
        <f>"황유정"</f>
        <v>황유정</v>
      </c>
      <c r="D983" s="2" t="str">
        <f t="shared" si="215"/>
        <v>F</v>
      </c>
      <c r="E983" s="2" t="str">
        <f>"20001220"</f>
        <v>20001220</v>
      </c>
      <c r="F983" s="2" t="str">
        <f>"24"</f>
        <v>24</v>
      </c>
      <c r="G983" s="2" t="str">
        <f t="shared" si="210"/>
        <v>E78660</v>
      </c>
      <c r="H983" s="2" t="str">
        <f t="shared" si="211"/>
        <v>가톨릭대학교 서울성모병원</v>
      </c>
      <c r="I983" s="2" t="str">
        <f>"배치전"</f>
        <v>배치전</v>
      </c>
    </row>
    <row r="984" spans="1:9" x14ac:dyDescent="0.3">
      <c r="A984" s="2" t="str">
        <f t="shared" ref="A984:A995" si="216">"20250602"</f>
        <v>20250602</v>
      </c>
      <c r="B984" s="2" t="str">
        <f>"19187853"</f>
        <v>19187853</v>
      </c>
      <c r="C984" s="2" t="str">
        <f>"임승진"</f>
        <v>임승진</v>
      </c>
      <c r="D984" s="2" t="str">
        <f>"M"</f>
        <v>M</v>
      </c>
      <c r="E984" s="2" t="str">
        <f>"19811211"</f>
        <v>19811211</v>
      </c>
      <c r="F984" s="2" t="str">
        <f>"43"</f>
        <v>43</v>
      </c>
      <c r="G984" s="2" t="str">
        <f t="shared" si="210"/>
        <v>E78660</v>
      </c>
      <c r="H984" s="2" t="str">
        <f t="shared" si="211"/>
        <v>가톨릭대학교 서울성모병원</v>
      </c>
      <c r="I984" s="2" t="str">
        <f t="shared" ref="I984:I993" si="217">"특수"</f>
        <v>특수</v>
      </c>
    </row>
    <row r="985" spans="1:9" x14ac:dyDescent="0.3">
      <c r="A985" s="2" t="str">
        <f t="shared" si="216"/>
        <v>20250602</v>
      </c>
      <c r="B985" s="2" t="str">
        <f>"19200202"</f>
        <v>19200202</v>
      </c>
      <c r="C985" s="2" t="str">
        <f>"김태은"</f>
        <v>김태은</v>
      </c>
      <c r="D985" s="2" t="str">
        <f>"F"</f>
        <v>F</v>
      </c>
      <c r="E985" s="2" t="str">
        <f>"19821109"</f>
        <v>19821109</v>
      </c>
      <c r="F985" s="2" t="str">
        <f>"42"</f>
        <v>42</v>
      </c>
      <c r="G985" s="2" t="str">
        <f t="shared" si="210"/>
        <v>E78660</v>
      </c>
      <c r="H985" s="2" t="str">
        <f t="shared" si="211"/>
        <v>가톨릭대학교 서울성모병원</v>
      </c>
      <c r="I985" s="2" t="str">
        <f t="shared" si="217"/>
        <v>특수</v>
      </c>
    </row>
    <row r="986" spans="1:9" x14ac:dyDescent="0.3">
      <c r="A986" s="2" t="str">
        <f t="shared" si="216"/>
        <v>20250602</v>
      </c>
      <c r="B986" s="2" t="str">
        <f>"19674881"</f>
        <v>19674881</v>
      </c>
      <c r="C986" s="2" t="str">
        <f>"김태운"</f>
        <v>김태운</v>
      </c>
      <c r="D986" s="2" t="str">
        <f>"M"</f>
        <v>M</v>
      </c>
      <c r="E986" s="2" t="str">
        <f>"19800406"</f>
        <v>19800406</v>
      </c>
      <c r="F986" s="2" t="str">
        <f>"45"</f>
        <v>45</v>
      </c>
      <c r="G986" s="2" t="str">
        <f t="shared" si="210"/>
        <v>E78660</v>
      </c>
      <c r="H986" s="2" t="str">
        <f t="shared" si="211"/>
        <v>가톨릭대학교 서울성모병원</v>
      </c>
      <c r="I986" s="2" t="str">
        <f t="shared" si="217"/>
        <v>특수</v>
      </c>
    </row>
    <row r="987" spans="1:9" x14ac:dyDescent="0.3">
      <c r="A987" s="2" t="str">
        <f t="shared" si="216"/>
        <v>20250602</v>
      </c>
      <c r="B987" s="2" t="str">
        <f>"21413595"</f>
        <v>21413595</v>
      </c>
      <c r="C987" s="2" t="str">
        <f>"이준호"</f>
        <v>이준호</v>
      </c>
      <c r="D987" s="2" t="str">
        <f>"M"</f>
        <v>M</v>
      </c>
      <c r="E987" s="2" t="str">
        <f>"19760627"</f>
        <v>19760627</v>
      </c>
      <c r="F987" s="2" t="str">
        <f>"48"</f>
        <v>48</v>
      </c>
      <c r="G987" s="2" t="str">
        <f t="shared" si="210"/>
        <v>E78660</v>
      </c>
      <c r="H987" s="2" t="str">
        <f t="shared" si="211"/>
        <v>가톨릭대학교 서울성모병원</v>
      </c>
      <c r="I987" s="2" t="str">
        <f t="shared" si="217"/>
        <v>특수</v>
      </c>
    </row>
    <row r="988" spans="1:9" x14ac:dyDescent="0.3">
      <c r="A988" s="2" t="str">
        <f t="shared" si="216"/>
        <v>20250602</v>
      </c>
      <c r="B988" s="2" t="str">
        <f>"24963014"</f>
        <v>24963014</v>
      </c>
      <c r="C988" s="2" t="str">
        <f>"오형석"</f>
        <v>오형석</v>
      </c>
      <c r="D988" s="2" t="str">
        <f>"M"</f>
        <v>M</v>
      </c>
      <c r="E988" s="2" t="str">
        <f>"19850328"</f>
        <v>19850328</v>
      </c>
      <c r="F988" s="2" t="str">
        <f>"40"</f>
        <v>40</v>
      </c>
      <c r="G988" s="2" t="str">
        <f t="shared" si="210"/>
        <v>E78660</v>
      </c>
      <c r="H988" s="2" t="str">
        <f t="shared" si="211"/>
        <v>가톨릭대학교 서울성모병원</v>
      </c>
      <c r="I988" s="2" t="str">
        <f t="shared" si="217"/>
        <v>특수</v>
      </c>
    </row>
    <row r="989" spans="1:9" x14ac:dyDescent="0.3">
      <c r="A989" s="2" t="str">
        <f t="shared" si="216"/>
        <v>20250602</v>
      </c>
      <c r="B989" s="2" t="str">
        <f>"35717242"</f>
        <v>35717242</v>
      </c>
      <c r="C989" s="2" t="str">
        <f>"정세리"</f>
        <v>정세리</v>
      </c>
      <c r="D989" s="2" t="str">
        <f>"F"</f>
        <v>F</v>
      </c>
      <c r="E989" s="2" t="str">
        <f>"19900625"</f>
        <v>19900625</v>
      </c>
      <c r="F989" s="2" t="str">
        <f>"34"</f>
        <v>34</v>
      </c>
      <c r="G989" s="2" t="str">
        <f t="shared" si="210"/>
        <v>E78660</v>
      </c>
      <c r="H989" s="2" t="str">
        <f t="shared" si="211"/>
        <v>가톨릭대학교 서울성모병원</v>
      </c>
      <c r="I989" s="2" t="str">
        <f t="shared" si="217"/>
        <v>특수</v>
      </c>
    </row>
    <row r="990" spans="1:9" x14ac:dyDescent="0.3">
      <c r="A990" s="2" t="str">
        <f t="shared" si="216"/>
        <v>20250602</v>
      </c>
      <c r="B990" s="2" t="str">
        <f>"3586875"</f>
        <v>3586875</v>
      </c>
      <c r="C990" s="2" t="str">
        <f>"김택춘"</f>
        <v>김택춘</v>
      </c>
      <c r="D990" s="2" t="str">
        <f>"M"</f>
        <v>M</v>
      </c>
      <c r="E990" s="2" t="str">
        <f>"19741120"</f>
        <v>19741120</v>
      </c>
      <c r="F990" s="2" t="str">
        <f>"50"</f>
        <v>50</v>
      </c>
      <c r="G990" s="2" t="str">
        <f t="shared" si="210"/>
        <v>E78660</v>
      </c>
      <c r="H990" s="2" t="str">
        <f t="shared" si="211"/>
        <v>가톨릭대학교 서울성모병원</v>
      </c>
      <c r="I990" s="2" t="str">
        <f t="shared" si="217"/>
        <v>특수</v>
      </c>
    </row>
    <row r="991" spans="1:9" x14ac:dyDescent="0.3">
      <c r="A991" s="2" t="str">
        <f t="shared" si="216"/>
        <v>20250602</v>
      </c>
      <c r="B991" s="2" t="str">
        <f>"36508404"</f>
        <v>36508404</v>
      </c>
      <c r="C991" s="2" t="str">
        <f>"김영찬"</f>
        <v>김영찬</v>
      </c>
      <c r="D991" s="2" t="str">
        <f>"M"</f>
        <v>M</v>
      </c>
      <c r="E991" s="2" t="str">
        <f>"19940409"</f>
        <v>19940409</v>
      </c>
      <c r="F991" s="2" t="str">
        <f>"31"</f>
        <v>31</v>
      </c>
      <c r="G991" s="2" t="str">
        <f t="shared" si="210"/>
        <v>E78660</v>
      </c>
      <c r="H991" s="2" t="str">
        <f t="shared" si="211"/>
        <v>가톨릭대학교 서울성모병원</v>
      </c>
      <c r="I991" s="2" t="str">
        <f t="shared" si="217"/>
        <v>특수</v>
      </c>
    </row>
    <row r="992" spans="1:9" x14ac:dyDescent="0.3">
      <c r="A992" s="2" t="str">
        <f t="shared" si="216"/>
        <v>20250602</v>
      </c>
      <c r="B992" s="2" t="str">
        <f>"39157893"</f>
        <v>39157893</v>
      </c>
      <c r="C992" s="2" t="str">
        <f>"정민주"</f>
        <v>정민주</v>
      </c>
      <c r="D992" s="2" t="str">
        <f>"F"</f>
        <v>F</v>
      </c>
      <c r="E992" s="2" t="str">
        <f>"19940624"</f>
        <v>19940624</v>
      </c>
      <c r="F992" s="2" t="str">
        <f>"30"</f>
        <v>30</v>
      </c>
      <c r="G992" s="2" t="str">
        <f t="shared" si="210"/>
        <v>E78660</v>
      </c>
      <c r="H992" s="2" t="str">
        <f t="shared" si="211"/>
        <v>가톨릭대학교 서울성모병원</v>
      </c>
      <c r="I992" s="2" t="str">
        <f t="shared" si="217"/>
        <v>특수</v>
      </c>
    </row>
    <row r="993" spans="1:9" x14ac:dyDescent="0.3">
      <c r="A993" s="2" t="str">
        <f t="shared" si="216"/>
        <v>20250602</v>
      </c>
      <c r="B993" s="2" t="str">
        <f>"39688674"</f>
        <v>39688674</v>
      </c>
      <c r="C993" s="2" t="str">
        <f>"윤지수"</f>
        <v>윤지수</v>
      </c>
      <c r="D993" s="2" t="str">
        <f>"F"</f>
        <v>F</v>
      </c>
      <c r="E993" s="2" t="str">
        <f>"19991001"</f>
        <v>19991001</v>
      </c>
      <c r="F993" s="2" t="str">
        <f>"25"</f>
        <v>25</v>
      </c>
      <c r="G993" s="2" t="str">
        <f t="shared" si="210"/>
        <v>E78660</v>
      </c>
      <c r="H993" s="2" t="str">
        <f t="shared" si="211"/>
        <v>가톨릭대학교 서울성모병원</v>
      </c>
      <c r="I993" s="2" t="str">
        <f t="shared" si="217"/>
        <v>특수</v>
      </c>
    </row>
    <row r="994" spans="1:9" x14ac:dyDescent="0.3">
      <c r="A994" s="2" t="str">
        <f t="shared" si="216"/>
        <v>20250602</v>
      </c>
      <c r="B994" s="2" t="str">
        <f>"40404703"</f>
        <v>40404703</v>
      </c>
      <c r="C994" s="2" t="str">
        <f>"원의주"</f>
        <v>원의주</v>
      </c>
      <c r="D994" s="2" t="str">
        <f>"F"</f>
        <v>F</v>
      </c>
      <c r="E994" s="2" t="str">
        <f>"19980802"</f>
        <v>19980802</v>
      </c>
      <c r="F994" s="2" t="str">
        <f>"26"</f>
        <v>26</v>
      </c>
      <c r="G994" s="2" t="str">
        <f t="shared" si="210"/>
        <v>E78660</v>
      </c>
      <c r="H994" s="2" t="str">
        <f t="shared" si="211"/>
        <v>가톨릭대학교 서울성모병원</v>
      </c>
      <c r="I994" s="2" t="str">
        <f>"배치후"</f>
        <v>배치후</v>
      </c>
    </row>
    <row r="995" spans="1:9" x14ac:dyDescent="0.3">
      <c r="A995" s="2" t="str">
        <f t="shared" si="216"/>
        <v>20250602</v>
      </c>
      <c r="B995" s="2" t="str">
        <f>"4142452"</f>
        <v>4142452</v>
      </c>
      <c r="C995" s="2" t="str">
        <f>"김태강"</f>
        <v>김태강</v>
      </c>
      <c r="D995" s="2" t="str">
        <f>"M"</f>
        <v>M</v>
      </c>
      <c r="E995" s="2" t="str">
        <f>"19730503"</f>
        <v>19730503</v>
      </c>
      <c r="F995" s="2" t="str">
        <f>"52"</f>
        <v>52</v>
      </c>
      <c r="G995" s="2" t="str">
        <f t="shared" si="210"/>
        <v>E78660</v>
      </c>
      <c r="H995" s="2" t="str">
        <f t="shared" si="211"/>
        <v>가톨릭대학교 서울성모병원</v>
      </c>
      <c r="I995" s="2" t="str">
        <f>"특수"</f>
        <v>특수</v>
      </c>
    </row>
    <row r="996" spans="1:9" x14ac:dyDescent="0.3">
      <c r="A996" s="2" t="str">
        <f t="shared" ref="A996:A1005" si="218">"20250604"</f>
        <v>20250604</v>
      </c>
      <c r="B996" s="2" t="str">
        <f>"23919116"</f>
        <v>23919116</v>
      </c>
      <c r="C996" s="2" t="str">
        <f>"김성훈"</f>
        <v>김성훈</v>
      </c>
      <c r="D996" s="2" t="str">
        <f>"M"</f>
        <v>M</v>
      </c>
      <c r="E996" s="2" t="str">
        <f>"19830720"</f>
        <v>19830720</v>
      </c>
      <c r="F996" s="2" t="str">
        <f>"41"</f>
        <v>41</v>
      </c>
      <c r="G996" s="2" t="str">
        <f t="shared" si="210"/>
        <v>E78660</v>
      </c>
      <c r="H996" s="2" t="str">
        <f t="shared" si="211"/>
        <v>가톨릭대학교 서울성모병원</v>
      </c>
      <c r="I996" s="2" t="str">
        <f>"특수"</f>
        <v>특수</v>
      </c>
    </row>
    <row r="997" spans="1:9" x14ac:dyDescent="0.3">
      <c r="A997" s="2" t="str">
        <f t="shared" si="218"/>
        <v>20250604</v>
      </c>
      <c r="B997" s="2" t="str">
        <f>"24302105"</f>
        <v>24302105</v>
      </c>
      <c r="C997" s="2" t="str">
        <f>"김진선"</f>
        <v>김진선</v>
      </c>
      <c r="D997" s="2" t="str">
        <f t="shared" ref="D997:D1003" si="219">"F"</f>
        <v>F</v>
      </c>
      <c r="E997" s="2" t="str">
        <f>"19890118"</f>
        <v>19890118</v>
      </c>
      <c r="F997" s="2" t="str">
        <f>"36"</f>
        <v>36</v>
      </c>
      <c r="G997" s="2" t="str">
        <f t="shared" si="210"/>
        <v>E78660</v>
      </c>
      <c r="H997" s="2" t="str">
        <f t="shared" si="211"/>
        <v>가톨릭대학교 서울성모병원</v>
      </c>
      <c r="I997" s="2" t="str">
        <f>"특수"</f>
        <v>특수</v>
      </c>
    </row>
    <row r="998" spans="1:9" x14ac:dyDescent="0.3">
      <c r="A998" s="2" t="str">
        <f t="shared" si="218"/>
        <v>20250604</v>
      </c>
      <c r="B998" s="2" t="str">
        <f>"34639172"</f>
        <v>34639172</v>
      </c>
      <c r="C998" s="2" t="str">
        <f>"김서영"</f>
        <v>김서영</v>
      </c>
      <c r="D998" s="2" t="str">
        <f t="shared" si="219"/>
        <v>F</v>
      </c>
      <c r="E998" s="2" t="str">
        <f>"19940908"</f>
        <v>19940908</v>
      </c>
      <c r="F998" s="2" t="str">
        <f>"30"</f>
        <v>30</v>
      </c>
      <c r="G998" s="2" t="str">
        <f t="shared" si="210"/>
        <v>E78660</v>
      </c>
      <c r="H998" s="2" t="str">
        <f t="shared" si="211"/>
        <v>가톨릭대학교 서울성모병원</v>
      </c>
      <c r="I998" s="2" t="str">
        <f>"특수"</f>
        <v>특수</v>
      </c>
    </row>
    <row r="999" spans="1:9" x14ac:dyDescent="0.3">
      <c r="A999" s="2" t="str">
        <f t="shared" si="218"/>
        <v>20250604</v>
      </c>
      <c r="B999" s="2" t="str">
        <f>"35141862"</f>
        <v>35141862</v>
      </c>
      <c r="C999" s="2" t="str">
        <f>"김선"</f>
        <v>김선</v>
      </c>
      <c r="D999" s="2" t="str">
        <f t="shared" si="219"/>
        <v>F</v>
      </c>
      <c r="E999" s="2" t="str">
        <f>"20000512"</f>
        <v>20000512</v>
      </c>
      <c r="F999" s="2" t="str">
        <f>"25"</f>
        <v>25</v>
      </c>
      <c r="G999" s="2" t="str">
        <f t="shared" si="210"/>
        <v>E78660</v>
      </c>
      <c r="H999" s="2" t="str">
        <f t="shared" si="211"/>
        <v>가톨릭대학교 서울성모병원</v>
      </c>
      <c r="I999" s="2" t="str">
        <f>"배치후"</f>
        <v>배치후</v>
      </c>
    </row>
    <row r="1000" spans="1:9" x14ac:dyDescent="0.3">
      <c r="A1000" s="2" t="str">
        <f t="shared" si="218"/>
        <v>20250604</v>
      </c>
      <c r="B1000" s="2" t="str">
        <f>"37011301"</f>
        <v>37011301</v>
      </c>
      <c r="C1000" s="2" t="str">
        <f>"김유진"</f>
        <v>김유진</v>
      </c>
      <c r="D1000" s="2" t="str">
        <f t="shared" si="219"/>
        <v>F</v>
      </c>
      <c r="E1000" s="2" t="str">
        <f>"19921205"</f>
        <v>19921205</v>
      </c>
      <c r="F1000" s="2" t="str">
        <f>"32"</f>
        <v>32</v>
      </c>
      <c r="G1000" s="2" t="str">
        <f t="shared" si="210"/>
        <v>E78660</v>
      </c>
      <c r="H1000" s="2" t="str">
        <f t="shared" si="211"/>
        <v>가톨릭대학교 서울성모병원</v>
      </c>
      <c r="I1000" s="2" t="str">
        <f>"특수"</f>
        <v>특수</v>
      </c>
    </row>
    <row r="1001" spans="1:9" x14ac:dyDescent="0.3">
      <c r="A1001" s="2" t="str">
        <f t="shared" si="218"/>
        <v>20250604</v>
      </c>
      <c r="B1001" s="2" t="str">
        <f>"40401882"</f>
        <v>40401882</v>
      </c>
      <c r="C1001" s="2" t="str">
        <f>"김민주"</f>
        <v>김민주</v>
      </c>
      <c r="D1001" s="2" t="str">
        <f t="shared" si="219"/>
        <v>F</v>
      </c>
      <c r="E1001" s="2" t="str">
        <f>"20000227"</f>
        <v>20000227</v>
      </c>
      <c r="F1001" s="2" t="str">
        <f>"25"</f>
        <v>25</v>
      </c>
      <c r="G1001" s="2" t="str">
        <f t="shared" si="210"/>
        <v>E78660</v>
      </c>
      <c r="H1001" s="2" t="str">
        <f t="shared" si="211"/>
        <v>가톨릭대학교 서울성모병원</v>
      </c>
      <c r="I1001" s="2" t="str">
        <f>"배치후"</f>
        <v>배치후</v>
      </c>
    </row>
    <row r="1002" spans="1:9" x14ac:dyDescent="0.3">
      <c r="A1002" s="2" t="str">
        <f t="shared" si="218"/>
        <v>20250604</v>
      </c>
      <c r="B1002" s="2" t="str">
        <f>"40468380"</f>
        <v>40468380</v>
      </c>
      <c r="C1002" s="2" t="str">
        <f>"김제인"</f>
        <v>김제인</v>
      </c>
      <c r="D1002" s="2" t="str">
        <f t="shared" si="219"/>
        <v>F</v>
      </c>
      <c r="E1002" s="2" t="str">
        <f>"19920601"</f>
        <v>19920601</v>
      </c>
      <c r="F1002" s="2" t="str">
        <f>"33"</f>
        <v>33</v>
      </c>
      <c r="G1002" s="2" t="str">
        <f t="shared" si="210"/>
        <v>E78660</v>
      </c>
      <c r="H1002" s="2" t="str">
        <f t="shared" si="211"/>
        <v>가톨릭대학교 서울성모병원</v>
      </c>
      <c r="I1002" s="2" t="str">
        <f>"배치후"</f>
        <v>배치후</v>
      </c>
    </row>
    <row r="1003" spans="1:9" x14ac:dyDescent="0.3">
      <c r="A1003" s="2" t="str">
        <f t="shared" si="218"/>
        <v>20250604</v>
      </c>
      <c r="B1003" s="2" t="str">
        <f>"40493982"</f>
        <v>40493982</v>
      </c>
      <c r="C1003" s="2" t="str">
        <f>"안현지"</f>
        <v>안현지</v>
      </c>
      <c r="D1003" s="2" t="str">
        <f t="shared" si="219"/>
        <v>F</v>
      </c>
      <c r="E1003" s="2" t="str">
        <f>"19990709"</f>
        <v>19990709</v>
      </c>
      <c r="F1003" s="2" t="str">
        <f>"25"</f>
        <v>25</v>
      </c>
      <c r="G1003" s="2" t="str">
        <f t="shared" si="210"/>
        <v>E78660</v>
      </c>
      <c r="H1003" s="2" t="str">
        <f t="shared" si="211"/>
        <v>가톨릭대학교 서울성모병원</v>
      </c>
      <c r="I1003" s="2" t="str">
        <f>"배치후"</f>
        <v>배치후</v>
      </c>
    </row>
    <row r="1004" spans="1:9" x14ac:dyDescent="0.3">
      <c r="A1004" s="2" t="str">
        <f t="shared" si="218"/>
        <v>20250604</v>
      </c>
      <c r="B1004" s="2" t="str">
        <f>"40499304"</f>
        <v>40499304</v>
      </c>
      <c r="C1004" s="2" t="str">
        <f>"김태수"</f>
        <v>김태수</v>
      </c>
      <c r="D1004" s="2" t="str">
        <f>"M"</f>
        <v>M</v>
      </c>
      <c r="E1004" s="2" t="str">
        <f>"19980313"</f>
        <v>19980313</v>
      </c>
      <c r="F1004" s="2" t="str">
        <f>"27"</f>
        <v>27</v>
      </c>
      <c r="G1004" s="2" t="str">
        <f t="shared" si="210"/>
        <v>E78660</v>
      </c>
      <c r="H1004" s="2" t="str">
        <f t="shared" si="211"/>
        <v>가톨릭대학교 서울성모병원</v>
      </c>
      <c r="I1004" s="2" t="str">
        <f>"배치후"</f>
        <v>배치후</v>
      </c>
    </row>
    <row r="1005" spans="1:9" x14ac:dyDescent="0.3">
      <c r="A1005" s="2" t="str">
        <f t="shared" si="218"/>
        <v>20250604</v>
      </c>
      <c r="B1005" s="2" t="str">
        <f>"40517781"</f>
        <v>40517781</v>
      </c>
      <c r="C1005" s="2" t="str">
        <f>"안연정"</f>
        <v>안연정</v>
      </c>
      <c r="D1005" s="2" t="str">
        <f>"F"</f>
        <v>F</v>
      </c>
      <c r="E1005" s="2" t="str">
        <f>"19961223"</f>
        <v>19961223</v>
      </c>
      <c r="F1005" s="2" t="str">
        <f>"28"</f>
        <v>28</v>
      </c>
      <c r="G1005" s="2" t="str">
        <f t="shared" si="210"/>
        <v>E78660</v>
      </c>
      <c r="H1005" s="2" t="str">
        <f t="shared" si="211"/>
        <v>가톨릭대학교 서울성모병원</v>
      </c>
      <c r="I1005" s="2" t="str">
        <f>"배치후"</f>
        <v>배치후</v>
      </c>
    </row>
    <row r="1006" spans="1:9" x14ac:dyDescent="0.3">
      <c r="A1006" s="2" t="str">
        <f>"20250605"</f>
        <v>20250605</v>
      </c>
      <c r="B1006" s="2" t="str">
        <f>"11402945"</f>
        <v>11402945</v>
      </c>
      <c r="C1006" s="2" t="str">
        <f>"김세연"</f>
        <v>김세연</v>
      </c>
      <c r="D1006" s="2" t="str">
        <f>"F"</f>
        <v>F</v>
      </c>
      <c r="E1006" s="2" t="str">
        <f>"19750805"</f>
        <v>19750805</v>
      </c>
      <c r="F1006" s="2" t="str">
        <f>"49"</f>
        <v>49</v>
      </c>
      <c r="G1006" s="2" t="str">
        <f t="shared" si="210"/>
        <v>E78660</v>
      </c>
      <c r="H1006" s="2" t="str">
        <f t="shared" si="211"/>
        <v>가톨릭대학교 서울성모병원</v>
      </c>
      <c r="I1006" s="2" t="str">
        <f t="shared" ref="I1006:I1012" si="220">"특수"</f>
        <v>특수</v>
      </c>
    </row>
    <row r="1007" spans="1:9" x14ac:dyDescent="0.3">
      <c r="A1007" s="2" t="str">
        <f>"20250605"</f>
        <v>20250605</v>
      </c>
      <c r="B1007" s="2" t="str">
        <f>"19072990"</f>
        <v>19072990</v>
      </c>
      <c r="C1007" s="2" t="str">
        <f>"이지은"</f>
        <v>이지은</v>
      </c>
      <c r="D1007" s="2" t="str">
        <f>"F"</f>
        <v>F</v>
      </c>
      <c r="E1007" s="2" t="str">
        <f>"19870222"</f>
        <v>19870222</v>
      </c>
      <c r="F1007" s="2" t="str">
        <f>"38"</f>
        <v>38</v>
      </c>
      <c r="G1007" s="2" t="str">
        <f t="shared" si="210"/>
        <v>E78660</v>
      </c>
      <c r="H1007" s="2" t="str">
        <f t="shared" si="211"/>
        <v>가톨릭대학교 서울성모병원</v>
      </c>
      <c r="I1007" s="2" t="str">
        <f t="shared" si="220"/>
        <v>특수</v>
      </c>
    </row>
    <row r="1008" spans="1:9" x14ac:dyDescent="0.3">
      <c r="A1008" s="2" t="str">
        <f>"20250605"</f>
        <v>20250605</v>
      </c>
      <c r="B1008" s="2" t="str">
        <f>"19713772"</f>
        <v>19713772</v>
      </c>
      <c r="C1008" s="2" t="str">
        <f>"고광상"</f>
        <v>고광상</v>
      </c>
      <c r="D1008" s="2" t="str">
        <f>"M"</f>
        <v>M</v>
      </c>
      <c r="E1008" s="2" t="str">
        <f>"19700127"</f>
        <v>19700127</v>
      </c>
      <c r="F1008" s="2" t="str">
        <f>"55"</f>
        <v>55</v>
      </c>
      <c r="G1008" s="2" t="str">
        <f t="shared" si="210"/>
        <v>E78660</v>
      </c>
      <c r="H1008" s="2" t="str">
        <f t="shared" si="211"/>
        <v>가톨릭대학교 서울성모병원</v>
      </c>
      <c r="I1008" s="2" t="str">
        <f t="shared" si="220"/>
        <v>특수</v>
      </c>
    </row>
    <row r="1009" spans="1:9" x14ac:dyDescent="0.3">
      <c r="A1009" s="2" t="str">
        <f>"20250605"</f>
        <v>20250605</v>
      </c>
      <c r="B1009" s="2" t="str">
        <f>"21823452"</f>
        <v>21823452</v>
      </c>
      <c r="C1009" s="2" t="str">
        <f>"문신혜"</f>
        <v>문신혜</v>
      </c>
      <c r="D1009" s="2" t="str">
        <f>"F"</f>
        <v>F</v>
      </c>
      <c r="E1009" s="2" t="str">
        <f>"19880105"</f>
        <v>19880105</v>
      </c>
      <c r="F1009" s="2" t="str">
        <f>"37"</f>
        <v>37</v>
      </c>
      <c r="G1009" s="2" t="str">
        <f t="shared" si="210"/>
        <v>E78660</v>
      </c>
      <c r="H1009" s="2" t="str">
        <f t="shared" si="211"/>
        <v>가톨릭대학교 서울성모병원</v>
      </c>
      <c r="I1009" s="2" t="str">
        <f t="shared" si="220"/>
        <v>특수</v>
      </c>
    </row>
    <row r="1010" spans="1:9" x14ac:dyDescent="0.3">
      <c r="A1010" s="2" t="str">
        <f t="shared" ref="A1010:A1016" si="221">"20250609"</f>
        <v>20250609</v>
      </c>
      <c r="B1010" s="2" t="str">
        <f>"11265505"</f>
        <v>11265505</v>
      </c>
      <c r="C1010" s="2" t="str">
        <f>"안혜림"</f>
        <v>안혜림</v>
      </c>
      <c r="D1010" s="2" t="str">
        <f>"F"</f>
        <v>F</v>
      </c>
      <c r="E1010" s="2" t="str">
        <f>"19751113"</f>
        <v>19751113</v>
      </c>
      <c r="F1010" s="2" t="str">
        <f>"49"</f>
        <v>49</v>
      </c>
      <c r="G1010" s="2" t="str">
        <f t="shared" si="210"/>
        <v>E78660</v>
      </c>
      <c r="H1010" s="2" t="str">
        <f t="shared" si="211"/>
        <v>가톨릭대학교 서울성모병원</v>
      </c>
      <c r="I1010" s="2" t="str">
        <f t="shared" si="220"/>
        <v>특수</v>
      </c>
    </row>
    <row r="1011" spans="1:9" x14ac:dyDescent="0.3">
      <c r="A1011" s="2" t="str">
        <f t="shared" si="221"/>
        <v>20250609</v>
      </c>
      <c r="B1011" s="2" t="str">
        <f>"11332493"</f>
        <v>11332493</v>
      </c>
      <c r="C1011" s="2" t="str">
        <f>"이우림"</f>
        <v>이우림</v>
      </c>
      <c r="D1011" s="2" t="str">
        <f>"F"</f>
        <v>F</v>
      </c>
      <c r="E1011" s="2" t="str">
        <f>"19980225"</f>
        <v>19980225</v>
      </c>
      <c r="F1011" s="2" t="str">
        <f>"27"</f>
        <v>27</v>
      </c>
      <c r="G1011" s="2" t="str">
        <f t="shared" si="210"/>
        <v>E78660</v>
      </c>
      <c r="H1011" s="2" t="str">
        <f t="shared" si="211"/>
        <v>가톨릭대학교 서울성모병원</v>
      </c>
      <c r="I1011" s="2" t="str">
        <f t="shared" si="220"/>
        <v>특수</v>
      </c>
    </row>
    <row r="1012" spans="1:9" x14ac:dyDescent="0.3">
      <c r="A1012" s="2" t="str">
        <f t="shared" si="221"/>
        <v>20250609</v>
      </c>
      <c r="B1012" s="2" t="str">
        <f>"32007702"</f>
        <v>32007702</v>
      </c>
      <c r="C1012" s="2" t="str">
        <f>"홍승아"</f>
        <v>홍승아</v>
      </c>
      <c r="D1012" s="2" t="str">
        <f>"F"</f>
        <v>F</v>
      </c>
      <c r="E1012" s="2" t="str">
        <f>"20000302"</f>
        <v>20000302</v>
      </c>
      <c r="F1012" s="2" t="str">
        <f>"25"</f>
        <v>25</v>
      </c>
      <c r="G1012" s="2" t="str">
        <f t="shared" si="210"/>
        <v>E78660</v>
      </c>
      <c r="H1012" s="2" t="str">
        <f t="shared" si="211"/>
        <v>가톨릭대학교 서울성모병원</v>
      </c>
      <c r="I1012" s="2" t="str">
        <f t="shared" si="220"/>
        <v>특수</v>
      </c>
    </row>
    <row r="1013" spans="1:9" x14ac:dyDescent="0.3">
      <c r="A1013" s="2" t="str">
        <f t="shared" si="221"/>
        <v>20250609</v>
      </c>
      <c r="B1013" s="2" t="str">
        <f>"34182000"</f>
        <v>34182000</v>
      </c>
      <c r="C1013" s="2" t="str">
        <f>"조민제"</f>
        <v>조민제</v>
      </c>
      <c r="D1013" s="2" t="str">
        <f>"M"</f>
        <v>M</v>
      </c>
      <c r="E1013" s="2" t="str">
        <f>"19871012"</f>
        <v>19871012</v>
      </c>
      <c r="F1013" s="2" t="str">
        <f>"37"</f>
        <v>37</v>
      </c>
      <c r="G1013" s="2" t="str">
        <f t="shared" si="210"/>
        <v>E78660</v>
      </c>
      <c r="H1013" s="2" t="str">
        <f t="shared" si="211"/>
        <v>가톨릭대학교 서울성모병원</v>
      </c>
      <c r="I1013" s="2" t="str">
        <f>"배치후"</f>
        <v>배치후</v>
      </c>
    </row>
    <row r="1014" spans="1:9" x14ac:dyDescent="0.3">
      <c r="A1014" s="2" t="str">
        <f t="shared" si="221"/>
        <v>20250609</v>
      </c>
      <c r="B1014" s="2" t="str">
        <f>"35827066"</f>
        <v>35827066</v>
      </c>
      <c r="C1014" s="2" t="str">
        <f>"이주애"</f>
        <v>이주애</v>
      </c>
      <c r="D1014" s="2" t="str">
        <f t="shared" ref="D1014:D1022" si="222">"F"</f>
        <v>F</v>
      </c>
      <c r="E1014" s="2" t="str">
        <f>"19980521"</f>
        <v>19980521</v>
      </c>
      <c r="F1014" s="2" t="str">
        <f>"27"</f>
        <v>27</v>
      </c>
      <c r="G1014" s="2" t="str">
        <f t="shared" si="210"/>
        <v>E78660</v>
      </c>
      <c r="H1014" s="2" t="str">
        <f t="shared" si="211"/>
        <v>가톨릭대학교 서울성모병원</v>
      </c>
      <c r="I1014" s="2" t="str">
        <f>"특수"</f>
        <v>특수</v>
      </c>
    </row>
    <row r="1015" spans="1:9" x14ac:dyDescent="0.3">
      <c r="A1015" s="2" t="str">
        <f t="shared" si="221"/>
        <v>20250609</v>
      </c>
      <c r="B1015" s="2" t="str">
        <f>"38703604"</f>
        <v>38703604</v>
      </c>
      <c r="C1015" s="2" t="str">
        <f>"김솔"</f>
        <v>김솔</v>
      </c>
      <c r="D1015" s="2" t="str">
        <f t="shared" si="222"/>
        <v>F</v>
      </c>
      <c r="E1015" s="2" t="str">
        <f>"19991020"</f>
        <v>19991020</v>
      </c>
      <c r="F1015" s="2" t="str">
        <f>"25"</f>
        <v>25</v>
      </c>
      <c r="G1015" s="2" t="str">
        <f t="shared" si="210"/>
        <v>E78660</v>
      </c>
      <c r="H1015" s="2" t="str">
        <f t="shared" si="211"/>
        <v>가톨릭대학교 서울성모병원</v>
      </c>
      <c r="I1015" s="2" t="str">
        <f>"특수"</f>
        <v>특수</v>
      </c>
    </row>
    <row r="1016" spans="1:9" x14ac:dyDescent="0.3">
      <c r="A1016" s="2" t="str">
        <f t="shared" si="221"/>
        <v>20250609</v>
      </c>
      <c r="B1016" s="2" t="str">
        <f>"40413453"</f>
        <v>40413453</v>
      </c>
      <c r="C1016" s="2" t="str">
        <f>"공도경"</f>
        <v>공도경</v>
      </c>
      <c r="D1016" s="2" t="str">
        <f t="shared" si="222"/>
        <v>F</v>
      </c>
      <c r="E1016" s="2" t="str">
        <f>"20000713"</f>
        <v>20000713</v>
      </c>
      <c r="F1016" s="2" t="str">
        <f>"24"</f>
        <v>24</v>
      </c>
      <c r="G1016" s="2" t="str">
        <f t="shared" si="210"/>
        <v>E78660</v>
      </c>
      <c r="H1016" s="2" t="str">
        <f t="shared" si="211"/>
        <v>가톨릭대학교 서울성모병원</v>
      </c>
      <c r="I1016" s="2" t="str">
        <f>"배치후"</f>
        <v>배치후</v>
      </c>
    </row>
    <row r="1017" spans="1:9" x14ac:dyDescent="0.3">
      <c r="A1017" s="2" t="str">
        <f t="shared" ref="A1017:A1025" si="223">"20250610"</f>
        <v>20250610</v>
      </c>
      <c r="B1017" s="2" t="str">
        <f>"17932770"</f>
        <v>17932770</v>
      </c>
      <c r="C1017" s="2" t="str">
        <f>"박종희"</f>
        <v>박종희</v>
      </c>
      <c r="D1017" s="2" t="str">
        <f t="shared" si="222"/>
        <v>F</v>
      </c>
      <c r="E1017" s="2" t="str">
        <f>"19820314"</f>
        <v>19820314</v>
      </c>
      <c r="F1017" s="2" t="str">
        <f>"43"</f>
        <v>43</v>
      </c>
      <c r="G1017" s="2" t="str">
        <f t="shared" si="210"/>
        <v>E78660</v>
      </c>
      <c r="H1017" s="2" t="str">
        <f t="shared" si="211"/>
        <v>가톨릭대학교 서울성모병원</v>
      </c>
      <c r="I1017" s="2" t="str">
        <f t="shared" ref="I1017:I1036" si="224">"특수"</f>
        <v>특수</v>
      </c>
    </row>
    <row r="1018" spans="1:9" x14ac:dyDescent="0.3">
      <c r="A1018" s="2" t="str">
        <f t="shared" si="223"/>
        <v>20250610</v>
      </c>
      <c r="B1018" s="2" t="str">
        <f>"23513412"</f>
        <v>23513412</v>
      </c>
      <c r="C1018" s="2" t="str">
        <f>"신선미"</f>
        <v>신선미</v>
      </c>
      <c r="D1018" s="2" t="str">
        <f t="shared" si="222"/>
        <v>F</v>
      </c>
      <c r="E1018" s="2" t="str">
        <f>"19860727"</f>
        <v>19860727</v>
      </c>
      <c r="F1018" s="2" t="str">
        <f>"38"</f>
        <v>38</v>
      </c>
      <c r="G1018" s="2" t="str">
        <f t="shared" si="210"/>
        <v>E78660</v>
      </c>
      <c r="H1018" s="2" t="str">
        <f t="shared" si="211"/>
        <v>가톨릭대학교 서울성모병원</v>
      </c>
      <c r="I1018" s="2" t="str">
        <f t="shared" si="224"/>
        <v>특수</v>
      </c>
    </row>
    <row r="1019" spans="1:9" x14ac:dyDescent="0.3">
      <c r="A1019" s="2" t="str">
        <f t="shared" si="223"/>
        <v>20250610</v>
      </c>
      <c r="B1019" s="2" t="str">
        <f>"26242051"</f>
        <v>26242051</v>
      </c>
      <c r="C1019" s="2" t="str">
        <f>"이슬이"</f>
        <v>이슬이</v>
      </c>
      <c r="D1019" s="2" t="str">
        <f t="shared" si="222"/>
        <v>F</v>
      </c>
      <c r="E1019" s="2" t="str">
        <f>"19900706"</f>
        <v>19900706</v>
      </c>
      <c r="F1019" s="2" t="str">
        <f>"34"</f>
        <v>34</v>
      </c>
      <c r="G1019" s="2" t="str">
        <f t="shared" si="210"/>
        <v>E78660</v>
      </c>
      <c r="H1019" s="2" t="str">
        <f t="shared" si="211"/>
        <v>가톨릭대학교 서울성모병원</v>
      </c>
      <c r="I1019" s="2" t="str">
        <f t="shared" si="224"/>
        <v>특수</v>
      </c>
    </row>
    <row r="1020" spans="1:9" x14ac:dyDescent="0.3">
      <c r="A1020" s="2" t="str">
        <f t="shared" si="223"/>
        <v>20250610</v>
      </c>
      <c r="B1020" s="2" t="str">
        <f>"33465932"</f>
        <v>33465932</v>
      </c>
      <c r="C1020" s="2" t="str">
        <f>"김소정"</f>
        <v>김소정</v>
      </c>
      <c r="D1020" s="2" t="str">
        <f t="shared" si="222"/>
        <v>F</v>
      </c>
      <c r="E1020" s="2" t="str">
        <f>"19960923"</f>
        <v>19960923</v>
      </c>
      <c r="F1020" s="2" t="str">
        <f>"28"</f>
        <v>28</v>
      </c>
      <c r="G1020" s="2" t="str">
        <f t="shared" si="210"/>
        <v>E78660</v>
      </c>
      <c r="H1020" s="2" t="str">
        <f t="shared" si="211"/>
        <v>가톨릭대학교 서울성모병원</v>
      </c>
      <c r="I1020" s="2" t="str">
        <f t="shared" si="224"/>
        <v>특수</v>
      </c>
    </row>
    <row r="1021" spans="1:9" x14ac:dyDescent="0.3">
      <c r="A1021" s="2" t="str">
        <f t="shared" si="223"/>
        <v>20250610</v>
      </c>
      <c r="B1021" s="2" t="str">
        <f>"36152323"</f>
        <v>36152323</v>
      </c>
      <c r="C1021" s="2" t="str">
        <f>"박유리"</f>
        <v>박유리</v>
      </c>
      <c r="D1021" s="2" t="str">
        <f t="shared" si="222"/>
        <v>F</v>
      </c>
      <c r="E1021" s="2" t="str">
        <f>"19971214"</f>
        <v>19971214</v>
      </c>
      <c r="F1021" s="2" t="str">
        <f>"27"</f>
        <v>27</v>
      </c>
      <c r="G1021" s="2" t="str">
        <f t="shared" si="210"/>
        <v>E78660</v>
      </c>
      <c r="H1021" s="2" t="str">
        <f t="shared" si="211"/>
        <v>가톨릭대학교 서울성모병원</v>
      </c>
      <c r="I1021" s="2" t="str">
        <f t="shared" si="224"/>
        <v>특수</v>
      </c>
    </row>
    <row r="1022" spans="1:9" x14ac:dyDescent="0.3">
      <c r="A1022" s="2" t="str">
        <f t="shared" si="223"/>
        <v>20250610</v>
      </c>
      <c r="B1022" s="2" t="str">
        <f>"38351653"</f>
        <v>38351653</v>
      </c>
      <c r="C1022" s="2" t="str">
        <f>"김의진"</f>
        <v>김의진</v>
      </c>
      <c r="D1022" s="2" t="str">
        <f t="shared" si="222"/>
        <v>F</v>
      </c>
      <c r="E1022" s="2" t="str">
        <f>"19960122"</f>
        <v>19960122</v>
      </c>
      <c r="F1022" s="2" t="str">
        <f>"29"</f>
        <v>29</v>
      </c>
      <c r="G1022" s="2" t="str">
        <f t="shared" si="210"/>
        <v>E78660</v>
      </c>
      <c r="H1022" s="2" t="str">
        <f t="shared" si="211"/>
        <v>가톨릭대학교 서울성모병원</v>
      </c>
      <c r="I1022" s="2" t="str">
        <f t="shared" si="224"/>
        <v>특수</v>
      </c>
    </row>
    <row r="1023" spans="1:9" x14ac:dyDescent="0.3">
      <c r="A1023" s="2" t="str">
        <f t="shared" si="223"/>
        <v>20250610</v>
      </c>
      <c r="B1023" s="2" t="str">
        <f>"38391501"</f>
        <v>38391501</v>
      </c>
      <c r="C1023" s="2" t="str">
        <f>"김선웅"</f>
        <v>김선웅</v>
      </c>
      <c r="D1023" s="2" t="str">
        <f>"M"</f>
        <v>M</v>
      </c>
      <c r="E1023" s="2" t="str">
        <f>"19971101"</f>
        <v>19971101</v>
      </c>
      <c r="F1023" s="2" t="str">
        <f>"27"</f>
        <v>27</v>
      </c>
      <c r="G1023" s="2" t="str">
        <f t="shared" si="210"/>
        <v>E78660</v>
      </c>
      <c r="H1023" s="2" t="str">
        <f t="shared" si="211"/>
        <v>가톨릭대학교 서울성모병원</v>
      </c>
      <c r="I1023" s="2" t="str">
        <f t="shared" si="224"/>
        <v>특수</v>
      </c>
    </row>
    <row r="1024" spans="1:9" x14ac:dyDescent="0.3">
      <c r="A1024" s="2" t="str">
        <f t="shared" si="223"/>
        <v>20250610</v>
      </c>
      <c r="B1024" s="2" t="str">
        <f>"38512561"</f>
        <v>38512561</v>
      </c>
      <c r="C1024" s="2" t="str">
        <f>"이연성"</f>
        <v>이연성</v>
      </c>
      <c r="D1024" s="2" t="str">
        <f>"F"</f>
        <v>F</v>
      </c>
      <c r="E1024" s="2" t="str">
        <f>"20000829"</f>
        <v>20000829</v>
      </c>
      <c r="F1024" s="2" t="str">
        <f>"24"</f>
        <v>24</v>
      </c>
      <c r="G1024" s="2" t="str">
        <f t="shared" si="210"/>
        <v>E78660</v>
      </c>
      <c r="H1024" s="2" t="str">
        <f t="shared" si="211"/>
        <v>가톨릭대학교 서울성모병원</v>
      </c>
      <c r="I1024" s="2" t="str">
        <f t="shared" si="224"/>
        <v>특수</v>
      </c>
    </row>
    <row r="1025" spans="1:9" x14ac:dyDescent="0.3">
      <c r="A1025" s="2" t="str">
        <f t="shared" si="223"/>
        <v>20250610</v>
      </c>
      <c r="B1025" s="2" t="str">
        <f>"39850053"</f>
        <v>39850053</v>
      </c>
      <c r="C1025" s="2" t="str">
        <f>"이승재"</f>
        <v>이승재</v>
      </c>
      <c r="D1025" s="2" t="str">
        <f>"M"</f>
        <v>M</v>
      </c>
      <c r="E1025" s="2" t="str">
        <f>"19960629"</f>
        <v>19960629</v>
      </c>
      <c r="F1025" s="2" t="str">
        <f>"28"</f>
        <v>28</v>
      </c>
      <c r="G1025" s="2" t="str">
        <f t="shared" si="210"/>
        <v>E78660</v>
      </c>
      <c r="H1025" s="2" t="str">
        <f t="shared" si="211"/>
        <v>가톨릭대학교 서울성모병원</v>
      </c>
      <c r="I1025" s="2" t="str">
        <f t="shared" si="224"/>
        <v>특수</v>
      </c>
    </row>
    <row r="1026" spans="1:9" x14ac:dyDescent="0.3">
      <c r="A1026" s="2" t="str">
        <f t="shared" ref="A1026:A1032" si="225">"20250611"</f>
        <v>20250611</v>
      </c>
      <c r="B1026" s="2" t="str">
        <f>"18819848"</f>
        <v>18819848</v>
      </c>
      <c r="C1026" s="2" t="str">
        <f>"한영선"</f>
        <v>한영선</v>
      </c>
      <c r="D1026" s="2" t="str">
        <f>"F"</f>
        <v>F</v>
      </c>
      <c r="E1026" s="2" t="str">
        <f>"19780228"</f>
        <v>19780228</v>
      </c>
      <c r="F1026" s="2" t="str">
        <f>"47"</f>
        <v>47</v>
      </c>
      <c r="G1026" s="2" t="str">
        <f t="shared" si="210"/>
        <v>E78660</v>
      </c>
      <c r="H1026" s="2" t="str">
        <f t="shared" si="211"/>
        <v>가톨릭대학교 서울성모병원</v>
      </c>
      <c r="I1026" s="2" t="str">
        <f t="shared" si="224"/>
        <v>특수</v>
      </c>
    </row>
    <row r="1027" spans="1:9" x14ac:dyDescent="0.3">
      <c r="A1027" s="2" t="str">
        <f t="shared" si="225"/>
        <v>20250611</v>
      </c>
      <c r="B1027" s="2" t="str">
        <f>"21072644"</f>
        <v>21072644</v>
      </c>
      <c r="C1027" s="2" t="str">
        <f>"박승미"</f>
        <v>박승미</v>
      </c>
      <c r="D1027" s="2" t="str">
        <f>"F"</f>
        <v>F</v>
      </c>
      <c r="E1027" s="2" t="str">
        <f>"19850810"</f>
        <v>19850810</v>
      </c>
      <c r="F1027" s="2" t="str">
        <f>"39"</f>
        <v>39</v>
      </c>
      <c r="G1027" s="2" t="str">
        <f t="shared" si="210"/>
        <v>E78660</v>
      </c>
      <c r="H1027" s="2" t="str">
        <f t="shared" si="211"/>
        <v>가톨릭대학교 서울성모병원</v>
      </c>
      <c r="I1027" s="2" t="str">
        <f t="shared" si="224"/>
        <v>특수</v>
      </c>
    </row>
    <row r="1028" spans="1:9" x14ac:dyDescent="0.3">
      <c r="A1028" s="2" t="str">
        <f t="shared" si="225"/>
        <v>20250611</v>
      </c>
      <c r="B1028" s="2" t="str">
        <f>"21570914"</f>
        <v>21570914</v>
      </c>
      <c r="C1028" s="2" t="str">
        <f>"배지숙"</f>
        <v>배지숙</v>
      </c>
      <c r="D1028" s="2" t="str">
        <f>"F"</f>
        <v>F</v>
      </c>
      <c r="E1028" s="2" t="str">
        <f>"19790320"</f>
        <v>19790320</v>
      </c>
      <c r="F1028" s="2" t="str">
        <f>"46"</f>
        <v>46</v>
      </c>
      <c r="G1028" s="2" t="str">
        <f t="shared" si="210"/>
        <v>E78660</v>
      </c>
      <c r="H1028" s="2" t="str">
        <f t="shared" si="211"/>
        <v>가톨릭대학교 서울성모병원</v>
      </c>
      <c r="I1028" s="2" t="str">
        <f t="shared" si="224"/>
        <v>특수</v>
      </c>
    </row>
    <row r="1029" spans="1:9" x14ac:dyDescent="0.3">
      <c r="A1029" s="2" t="str">
        <f t="shared" si="225"/>
        <v>20250611</v>
      </c>
      <c r="B1029" s="2" t="str">
        <f>"28814551"</f>
        <v>28814551</v>
      </c>
      <c r="C1029" s="2" t="str">
        <f>"김소희"</f>
        <v>김소희</v>
      </c>
      <c r="D1029" s="2" t="str">
        <f>"F"</f>
        <v>F</v>
      </c>
      <c r="E1029" s="2" t="str">
        <f>"19971108"</f>
        <v>19971108</v>
      </c>
      <c r="F1029" s="2" t="str">
        <f>"27"</f>
        <v>27</v>
      </c>
      <c r="G1029" s="2" t="str">
        <f t="shared" ref="G1029:G1092" si="226">"E78660"</f>
        <v>E78660</v>
      </c>
      <c r="H1029" s="2" t="str">
        <f t="shared" ref="H1029:H1092" si="227">"가톨릭대학교 서울성모병원"</f>
        <v>가톨릭대학교 서울성모병원</v>
      </c>
      <c r="I1029" s="2" t="str">
        <f t="shared" si="224"/>
        <v>특수</v>
      </c>
    </row>
    <row r="1030" spans="1:9" x14ac:dyDescent="0.3">
      <c r="A1030" s="2" t="str">
        <f t="shared" si="225"/>
        <v>20250611</v>
      </c>
      <c r="B1030" s="2" t="str">
        <f>"34933861"</f>
        <v>34933861</v>
      </c>
      <c r="C1030" s="2" t="str">
        <f>"조승진"</f>
        <v>조승진</v>
      </c>
      <c r="D1030" s="2" t="str">
        <f>"M"</f>
        <v>M</v>
      </c>
      <c r="E1030" s="2" t="str">
        <f>"19701227"</f>
        <v>19701227</v>
      </c>
      <c r="F1030" s="2" t="str">
        <f>"54"</f>
        <v>54</v>
      </c>
      <c r="G1030" s="2" t="str">
        <f t="shared" si="226"/>
        <v>E78660</v>
      </c>
      <c r="H1030" s="2" t="str">
        <f t="shared" si="227"/>
        <v>가톨릭대학교 서울성모병원</v>
      </c>
      <c r="I1030" s="2" t="str">
        <f t="shared" si="224"/>
        <v>특수</v>
      </c>
    </row>
    <row r="1031" spans="1:9" x14ac:dyDescent="0.3">
      <c r="A1031" s="2" t="str">
        <f t="shared" si="225"/>
        <v>20250611</v>
      </c>
      <c r="B1031" s="2" t="str">
        <f>"35717453"</f>
        <v>35717453</v>
      </c>
      <c r="C1031" s="2" t="str">
        <f>"정민석"</f>
        <v>정민석</v>
      </c>
      <c r="D1031" s="2" t="str">
        <f>"M"</f>
        <v>M</v>
      </c>
      <c r="E1031" s="2" t="str">
        <f>"19951203"</f>
        <v>19951203</v>
      </c>
      <c r="F1031" s="2" t="str">
        <f>"29"</f>
        <v>29</v>
      </c>
      <c r="G1031" s="2" t="str">
        <f t="shared" si="226"/>
        <v>E78660</v>
      </c>
      <c r="H1031" s="2" t="str">
        <f t="shared" si="227"/>
        <v>가톨릭대학교 서울성모병원</v>
      </c>
      <c r="I1031" s="2" t="str">
        <f t="shared" si="224"/>
        <v>특수</v>
      </c>
    </row>
    <row r="1032" spans="1:9" x14ac:dyDescent="0.3">
      <c r="A1032" s="2" t="str">
        <f t="shared" si="225"/>
        <v>20250611</v>
      </c>
      <c r="B1032" s="2" t="str">
        <f>"35735692"</f>
        <v>35735692</v>
      </c>
      <c r="C1032" s="2" t="str">
        <f>"권오준"</f>
        <v>권오준</v>
      </c>
      <c r="D1032" s="2" t="str">
        <f>"M"</f>
        <v>M</v>
      </c>
      <c r="E1032" s="2" t="str">
        <f>"19960127"</f>
        <v>19960127</v>
      </c>
      <c r="F1032" s="2" t="str">
        <f>"29"</f>
        <v>29</v>
      </c>
      <c r="G1032" s="2" t="str">
        <f t="shared" si="226"/>
        <v>E78660</v>
      </c>
      <c r="H1032" s="2" t="str">
        <f t="shared" si="227"/>
        <v>가톨릭대학교 서울성모병원</v>
      </c>
      <c r="I1032" s="2" t="str">
        <f t="shared" si="224"/>
        <v>특수</v>
      </c>
    </row>
    <row r="1033" spans="1:9" x14ac:dyDescent="0.3">
      <c r="A1033" s="2" t="str">
        <f>"20250612"</f>
        <v>20250612</v>
      </c>
      <c r="B1033" s="2" t="str">
        <f>"26630081"</f>
        <v>26630081</v>
      </c>
      <c r="C1033" s="2" t="str">
        <f>"이슬아"</f>
        <v>이슬아</v>
      </c>
      <c r="D1033" s="2" t="str">
        <f>"F"</f>
        <v>F</v>
      </c>
      <c r="E1033" s="2" t="str">
        <f>"19920116"</f>
        <v>19920116</v>
      </c>
      <c r="F1033" s="2" t="str">
        <f>"33"</f>
        <v>33</v>
      </c>
      <c r="G1033" s="2" t="str">
        <f t="shared" si="226"/>
        <v>E78660</v>
      </c>
      <c r="H1033" s="2" t="str">
        <f t="shared" si="227"/>
        <v>가톨릭대학교 서울성모병원</v>
      </c>
      <c r="I1033" s="2" t="str">
        <f t="shared" si="224"/>
        <v>특수</v>
      </c>
    </row>
    <row r="1034" spans="1:9" x14ac:dyDescent="0.3">
      <c r="A1034" s="2" t="str">
        <f>"20250612"</f>
        <v>20250612</v>
      </c>
      <c r="B1034" s="2" t="str">
        <f>"37094814"</f>
        <v>37094814</v>
      </c>
      <c r="C1034" s="2" t="str">
        <f>"고한슬"</f>
        <v>고한슬</v>
      </c>
      <c r="D1034" s="2" t="str">
        <f>"F"</f>
        <v>F</v>
      </c>
      <c r="E1034" s="2" t="str">
        <f>"19980706"</f>
        <v>19980706</v>
      </c>
      <c r="F1034" s="2" t="str">
        <f>"26"</f>
        <v>26</v>
      </c>
      <c r="G1034" s="2" t="str">
        <f t="shared" si="226"/>
        <v>E78660</v>
      </c>
      <c r="H1034" s="2" t="str">
        <f t="shared" si="227"/>
        <v>가톨릭대학교 서울성모병원</v>
      </c>
      <c r="I1034" s="2" t="str">
        <f t="shared" si="224"/>
        <v>특수</v>
      </c>
    </row>
    <row r="1035" spans="1:9" x14ac:dyDescent="0.3">
      <c r="A1035" s="2" t="str">
        <f t="shared" ref="A1035:A1046" si="228">"20250616"</f>
        <v>20250616</v>
      </c>
      <c r="B1035" s="2" t="str">
        <f>"19975266"</f>
        <v>19975266</v>
      </c>
      <c r="C1035" s="2" t="str">
        <f>"한진구"</f>
        <v>한진구</v>
      </c>
      <c r="D1035" s="2" t="str">
        <f>"F"</f>
        <v>F</v>
      </c>
      <c r="E1035" s="2" t="str">
        <f>"19691217"</f>
        <v>19691217</v>
      </c>
      <c r="F1035" s="2" t="str">
        <f>"55"</f>
        <v>55</v>
      </c>
      <c r="G1035" s="2" t="str">
        <f t="shared" si="226"/>
        <v>E78660</v>
      </c>
      <c r="H1035" s="2" t="str">
        <f t="shared" si="227"/>
        <v>가톨릭대학교 서울성모병원</v>
      </c>
      <c r="I1035" s="2" t="str">
        <f t="shared" si="224"/>
        <v>특수</v>
      </c>
    </row>
    <row r="1036" spans="1:9" x14ac:dyDescent="0.3">
      <c r="A1036" s="2" t="str">
        <f t="shared" si="228"/>
        <v>20250616</v>
      </c>
      <c r="B1036" s="2" t="str">
        <f>"21632813"</f>
        <v>21632813</v>
      </c>
      <c r="C1036" s="2" t="str">
        <f>"김미란"</f>
        <v>김미란</v>
      </c>
      <c r="D1036" s="2" t="str">
        <f>"F"</f>
        <v>F</v>
      </c>
      <c r="E1036" s="2" t="str">
        <f>"19841029"</f>
        <v>19841029</v>
      </c>
      <c r="F1036" s="2" t="str">
        <f>"40"</f>
        <v>40</v>
      </c>
      <c r="G1036" s="2" t="str">
        <f t="shared" si="226"/>
        <v>E78660</v>
      </c>
      <c r="H1036" s="2" t="str">
        <f t="shared" si="227"/>
        <v>가톨릭대학교 서울성모병원</v>
      </c>
      <c r="I1036" s="2" t="str">
        <f t="shared" si="224"/>
        <v>특수</v>
      </c>
    </row>
    <row r="1037" spans="1:9" x14ac:dyDescent="0.3">
      <c r="A1037" s="2" t="str">
        <f t="shared" si="228"/>
        <v>20250616</v>
      </c>
      <c r="B1037" s="2" t="str">
        <f>"22411601"</f>
        <v>22411601</v>
      </c>
      <c r="C1037" s="2" t="str">
        <f>"박서진"</f>
        <v>박서진</v>
      </c>
      <c r="D1037" s="2" t="str">
        <f>"F"</f>
        <v>F</v>
      </c>
      <c r="E1037" s="2" t="str">
        <f>"19900621"</f>
        <v>19900621</v>
      </c>
      <c r="F1037" s="2" t="str">
        <f>"35"</f>
        <v>35</v>
      </c>
      <c r="G1037" s="2" t="str">
        <f t="shared" si="226"/>
        <v>E78660</v>
      </c>
      <c r="H1037" s="2" t="str">
        <f t="shared" si="227"/>
        <v>가톨릭대학교 서울성모병원</v>
      </c>
      <c r="I1037" s="2" t="str">
        <f>"배치후"</f>
        <v>배치후</v>
      </c>
    </row>
    <row r="1038" spans="1:9" x14ac:dyDescent="0.3">
      <c r="A1038" s="2" t="str">
        <f t="shared" si="228"/>
        <v>20250616</v>
      </c>
      <c r="B1038" s="2" t="str">
        <f>"24140446"</f>
        <v>24140446</v>
      </c>
      <c r="C1038" s="2" t="str">
        <f>"이숭전"</f>
        <v>이숭전</v>
      </c>
      <c r="D1038" s="2" t="str">
        <f>"M"</f>
        <v>M</v>
      </c>
      <c r="E1038" s="2" t="str">
        <f>"19821231"</f>
        <v>19821231</v>
      </c>
      <c r="F1038" s="2" t="str">
        <f>"42"</f>
        <v>42</v>
      </c>
      <c r="G1038" s="2" t="str">
        <f t="shared" si="226"/>
        <v>E78660</v>
      </c>
      <c r="H1038" s="2" t="str">
        <f t="shared" si="227"/>
        <v>가톨릭대학교 서울성모병원</v>
      </c>
      <c r="I1038" s="2" t="str">
        <f>"특수"</f>
        <v>특수</v>
      </c>
    </row>
    <row r="1039" spans="1:9" x14ac:dyDescent="0.3">
      <c r="A1039" s="2" t="str">
        <f t="shared" si="228"/>
        <v>20250616</v>
      </c>
      <c r="B1039" s="2" t="str">
        <f>"37163484"</f>
        <v>37163484</v>
      </c>
      <c r="C1039" s="2" t="str">
        <f>"한도운"</f>
        <v>한도운</v>
      </c>
      <c r="D1039" s="2" t="str">
        <f>"M"</f>
        <v>M</v>
      </c>
      <c r="E1039" s="2" t="str">
        <f>"19920724"</f>
        <v>19920724</v>
      </c>
      <c r="F1039" s="2" t="str">
        <f>"32"</f>
        <v>32</v>
      </c>
      <c r="G1039" s="2" t="str">
        <f t="shared" si="226"/>
        <v>E78660</v>
      </c>
      <c r="H1039" s="2" t="str">
        <f t="shared" si="227"/>
        <v>가톨릭대학교 서울성모병원</v>
      </c>
      <c r="I1039" s="2" t="str">
        <f>"배치전"</f>
        <v>배치전</v>
      </c>
    </row>
    <row r="1040" spans="1:9" x14ac:dyDescent="0.3">
      <c r="A1040" s="2" t="str">
        <f t="shared" si="228"/>
        <v>20250616</v>
      </c>
      <c r="B1040" s="2" t="str">
        <f>"38086053"</f>
        <v>38086053</v>
      </c>
      <c r="C1040" s="2" t="str">
        <f>"김혜린"</f>
        <v>김혜린</v>
      </c>
      <c r="D1040" s="2" t="str">
        <f>"F"</f>
        <v>F</v>
      </c>
      <c r="E1040" s="2" t="str">
        <f>"19970719"</f>
        <v>19970719</v>
      </c>
      <c r="F1040" s="2" t="str">
        <f>"27"</f>
        <v>27</v>
      </c>
      <c r="G1040" s="2" t="str">
        <f t="shared" si="226"/>
        <v>E78660</v>
      </c>
      <c r="H1040" s="2" t="str">
        <f t="shared" si="227"/>
        <v>가톨릭대학교 서울성모병원</v>
      </c>
      <c r="I1040" s="2" t="str">
        <f>"특수"</f>
        <v>특수</v>
      </c>
    </row>
    <row r="1041" spans="1:9" x14ac:dyDescent="0.3">
      <c r="A1041" s="2" t="str">
        <f t="shared" si="228"/>
        <v>20250616</v>
      </c>
      <c r="B1041" s="2" t="str">
        <f>"38351631"</f>
        <v>38351631</v>
      </c>
      <c r="C1041" s="2" t="str">
        <f>"권우석"</f>
        <v>권우석</v>
      </c>
      <c r="D1041" s="2" t="str">
        <f>"M"</f>
        <v>M</v>
      </c>
      <c r="E1041" s="2" t="str">
        <f>"19940627"</f>
        <v>19940627</v>
      </c>
      <c r="F1041" s="2" t="str">
        <f>"30"</f>
        <v>30</v>
      </c>
      <c r="G1041" s="2" t="str">
        <f t="shared" si="226"/>
        <v>E78660</v>
      </c>
      <c r="H1041" s="2" t="str">
        <f t="shared" si="227"/>
        <v>가톨릭대학교 서울성모병원</v>
      </c>
      <c r="I1041" s="2" t="str">
        <f>"특수"</f>
        <v>특수</v>
      </c>
    </row>
    <row r="1042" spans="1:9" x14ac:dyDescent="0.3">
      <c r="A1042" s="2" t="str">
        <f t="shared" si="228"/>
        <v>20250616</v>
      </c>
      <c r="B1042" s="2" t="str">
        <f>"38799873"</f>
        <v>38799873</v>
      </c>
      <c r="C1042" s="2" t="str">
        <f>"박서연"</f>
        <v>박서연</v>
      </c>
      <c r="D1042" s="2" t="str">
        <f>"F"</f>
        <v>F</v>
      </c>
      <c r="E1042" s="2" t="str">
        <f>"19971029"</f>
        <v>19971029</v>
      </c>
      <c r="F1042" s="2" t="str">
        <f>"27"</f>
        <v>27</v>
      </c>
      <c r="G1042" s="2" t="str">
        <f t="shared" si="226"/>
        <v>E78660</v>
      </c>
      <c r="H1042" s="2" t="str">
        <f t="shared" si="227"/>
        <v>가톨릭대학교 서울성모병원</v>
      </c>
      <c r="I1042" s="2" t="str">
        <f>"특수"</f>
        <v>특수</v>
      </c>
    </row>
    <row r="1043" spans="1:9" x14ac:dyDescent="0.3">
      <c r="A1043" s="2" t="str">
        <f t="shared" si="228"/>
        <v>20250616</v>
      </c>
      <c r="B1043" s="2" t="str">
        <f>"39535742"</f>
        <v>39535742</v>
      </c>
      <c r="C1043" s="2" t="str">
        <f>"노혜진"</f>
        <v>노혜진</v>
      </c>
      <c r="D1043" s="2" t="str">
        <f>"F"</f>
        <v>F</v>
      </c>
      <c r="E1043" s="2" t="str">
        <f>"19970226"</f>
        <v>19970226</v>
      </c>
      <c r="F1043" s="2" t="str">
        <f>"28"</f>
        <v>28</v>
      </c>
      <c r="G1043" s="2" t="str">
        <f t="shared" si="226"/>
        <v>E78660</v>
      </c>
      <c r="H1043" s="2" t="str">
        <f t="shared" si="227"/>
        <v>가톨릭대학교 서울성모병원</v>
      </c>
      <c r="I1043" s="2" t="str">
        <f>"배치전"</f>
        <v>배치전</v>
      </c>
    </row>
    <row r="1044" spans="1:9" x14ac:dyDescent="0.3">
      <c r="A1044" s="2" t="str">
        <f t="shared" si="228"/>
        <v>20250616</v>
      </c>
      <c r="B1044" s="2" t="str">
        <f>"39680365"</f>
        <v>39680365</v>
      </c>
      <c r="C1044" s="2" t="str">
        <f>"김나영"</f>
        <v>김나영</v>
      </c>
      <c r="D1044" s="2" t="str">
        <f>"F"</f>
        <v>F</v>
      </c>
      <c r="E1044" s="2" t="str">
        <f>"19960709"</f>
        <v>19960709</v>
      </c>
      <c r="F1044" s="2" t="str">
        <f>"28"</f>
        <v>28</v>
      </c>
      <c r="G1044" s="2" t="str">
        <f t="shared" si="226"/>
        <v>E78660</v>
      </c>
      <c r="H1044" s="2" t="str">
        <f t="shared" si="227"/>
        <v>가톨릭대학교 서울성모병원</v>
      </c>
      <c r="I1044" s="2" t="str">
        <f t="shared" ref="I1044:I1050" si="229">"특수"</f>
        <v>특수</v>
      </c>
    </row>
    <row r="1045" spans="1:9" x14ac:dyDescent="0.3">
      <c r="A1045" s="2" t="str">
        <f t="shared" si="228"/>
        <v>20250616</v>
      </c>
      <c r="B1045" s="2" t="str">
        <f>"39884821"</f>
        <v>39884821</v>
      </c>
      <c r="C1045" s="2" t="str">
        <f>"신명아"</f>
        <v>신명아</v>
      </c>
      <c r="D1045" s="2" t="str">
        <f>"F"</f>
        <v>F</v>
      </c>
      <c r="E1045" s="2" t="str">
        <f>"19920915"</f>
        <v>19920915</v>
      </c>
      <c r="F1045" s="2" t="str">
        <f>"32"</f>
        <v>32</v>
      </c>
      <c r="G1045" s="2" t="str">
        <f t="shared" si="226"/>
        <v>E78660</v>
      </c>
      <c r="H1045" s="2" t="str">
        <f t="shared" si="227"/>
        <v>가톨릭대학교 서울성모병원</v>
      </c>
      <c r="I1045" s="2" t="str">
        <f t="shared" si="229"/>
        <v>특수</v>
      </c>
    </row>
    <row r="1046" spans="1:9" x14ac:dyDescent="0.3">
      <c r="A1046" s="2" t="str">
        <f t="shared" si="228"/>
        <v>20250616</v>
      </c>
      <c r="B1046" s="2" t="str">
        <f>"8482935"</f>
        <v>8482935</v>
      </c>
      <c r="C1046" s="2" t="str">
        <f>"김한식"</f>
        <v>김한식</v>
      </c>
      <c r="D1046" s="2" t="str">
        <f>"M"</f>
        <v>M</v>
      </c>
      <c r="E1046" s="2" t="str">
        <f>"19680604"</f>
        <v>19680604</v>
      </c>
      <c r="F1046" s="2" t="str">
        <f>"57"</f>
        <v>57</v>
      </c>
      <c r="G1046" s="2" t="str">
        <f t="shared" si="226"/>
        <v>E78660</v>
      </c>
      <c r="H1046" s="2" t="str">
        <f t="shared" si="227"/>
        <v>가톨릭대학교 서울성모병원</v>
      </c>
      <c r="I1046" s="2" t="str">
        <f t="shared" si="229"/>
        <v>특수</v>
      </c>
    </row>
    <row r="1047" spans="1:9" x14ac:dyDescent="0.3">
      <c r="A1047" s="2" t="str">
        <f t="shared" ref="A1047:A1052" si="230">"20250617"</f>
        <v>20250617</v>
      </c>
      <c r="B1047" s="2" t="str">
        <f>"18308088"</f>
        <v>18308088</v>
      </c>
      <c r="C1047" s="2" t="str">
        <f>"김지언"</f>
        <v>김지언</v>
      </c>
      <c r="D1047" s="2" t="str">
        <f t="shared" ref="D1047:D1058" si="231">"F"</f>
        <v>F</v>
      </c>
      <c r="E1047" s="2" t="str">
        <f>"19870223"</f>
        <v>19870223</v>
      </c>
      <c r="F1047" s="2" t="str">
        <f>"38"</f>
        <v>38</v>
      </c>
      <c r="G1047" s="2" t="str">
        <f t="shared" si="226"/>
        <v>E78660</v>
      </c>
      <c r="H1047" s="2" t="str">
        <f t="shared" si="227"/>
        <v>가톨릭대학교 서울성모병원</v>
      </c>
      <c r="I1047" s="2" t="str">
        <f t="shared" si="229"/>
        <v>특수</v>
      </c>
    </row>
    <row r="1048" spans="1:9" x14ac:dyDescent="0.3">
      <c r="A1048" s="2" t="str">
        <f t="shared" si="230"/>
        <v>20250617</v>
      </c>
      <c r="B1048" s="2" t="str">
        <f>"21048901"</f>
        <v>21048901</v>
      </c>
      <c r="C1048" s="2" t="str">
        <f>"장명선"</f>
        <v>장명선</v>
      </c>
      <c r="D1048" s="2" t="str">
        <f t="shared" si="231"/>
        <v>F</v>
      </c>
      <c r="E1048" s="2" t="str">
        <f>"19901113"</f>
        <v>19901113</v>
      </c>
      <c r="F1048" s="2" t="str">
        <f>"34"</f>
        <v>34</v>
      </c>
      <c r="G1048" s="2" t="str">
        <f t="shared" si="226"/>
        <v>E78660</v>
      </c>
      <c r="H1048" s="2" t="str">
        <f t="shared" si="227"/>
        <v>가톨릭대학교 서울성모병원</v>
      </c>
      <c r="I1048" s="2" t="str">
        <f t="shared" si="229"/>
        <v>특수</v>
      </c>
    </row>
    <row r="1049" spans="1:9" x14ac:dyDescent="0.3">
      <c r="A1049" s="2" t="str">
        <f t="shared" si="230"/>
        <v>20250617</v>
      </c>
      <c r="B1049" s="2" t="str">
        <f>"36291256"</f>
        <v>36291256</v>
      </c>
      <c r="C1049" s="2" t="str">
        <f>"임지현"</f>
        <v>임지현</v>
      </c>
      <c r="D1049" s="2" t="str">
        <f t="shared" si="231"/>
        <v>F</v>
      </c>
      <c r="E1049" s="2" t="str">
        <f>"19970606"</f>
        <v>19970606</v>
      </c>
      <c r="F1049" s="2" t="str">
        <f>"28"</f>
        <v>28</v>
      </c>
      <c r="G1049" s="2" t="str">
        <f t="shared" si="226"/>
        <v>E78660</v>
      </c>
      <c r="H1049" s="2" t="str">
        <f t="shared" si="227"/>
        <v>가톨릭대학교 서울성모병원</v>
      </c>
      <c r="I1049" s="2" t="str">
        <f t="shared" si="229"/>
        <v>특수</v>
      </c>
    </row>
    <row r="1050" spans="1:9" x14ac:dyDescent="0.3">
      <c r="A1050" s="2" t="str">
        <f t="shared" si="230"/>
        <v>20250617</v>
      </c>
      <c r="B1050" s="2" t="str">
        <f>"39283211"</f>
        <v>39283211</v>
      </c>
      <c r="C1050" s="2" t="str">
        <f>"양금주"</f>
        <v>양금주</v>
      </c>
      <c r="D1050" s="2" t="str">
        <f t="shared" si="231"/>
        <v>F</v>
      </c>
      <c r="E1050" s="2" t="str">
        <f>"20000908"</f>
        <v>20000908</v>
      </c>
      <c r="F1050" s="2" t="str">
        <f>"24"</f>
        <v>24</v>
      </c>
      <c r="G1050" s="2" t="str">
        <f t="shared" si="226"/>
        <v>E78660</v>
      </c>
      <c r="H1050" s="2" t="str">
        <f t="shared" si="227"/>
        <v>가톨릭대학교 서울성모병원</v>
      </c>
      <c r="I1050" s="2" t="str">
        <f t="shared" si="229"/>
        <v>특수</v>
      </c>
    </row>
    <row r="1051" spans="1:9" x14ac:dyDescent="0.3">
      <c r="A1051" s="2" t="str">
        <f t="shared" si="230"/>
        <v>20250617</v>
      </c>
      <c r="B1051" s="2" t="str">
        <f>"41105084"</f>
        <v>41105084</v>
      </c>
      <c r="C1051" s="2" t="str">
        <f>"박서정"</f>
        <v>박서정</v>
      </c>
      <c r="D1051" s="2" t="str">
        <f t="shared" si="231"/>
        <v>F</v>
      </c>
      <c r="E1051" s="2" t="str">
        <f>"19951117"</f>
        <v>19951117</v>
      </c>
      <c r="F1051" s="2" t="str">
        <f>"29"</f>
        <v>29</v>
      </c>
      <c r="G1051" s="2" t="str">
        <f t="shared" si="226"/>
        <v>E78660</v>
      </c>
      <c r="H1051" s="2" t="str">
        <f t="shared" si="227"/>
        <v>가톨릭대학교 서울성모병원</v>
      </c>
      <c r="I1051" s="2" t="str">
        <f>"배치전"</f>
        <v>배치전</v>
      </c>
    </row>
    <row r="1052" spans="1:9" x14ac:dyDescent="0.3">
      <c r="A1052" s="2" t="str">
        <f t="shared" si="230"/>
        <v>20250617</v>
      </c>
      <c r="B1052" s="2" t="str">
        <f>"8690437"</f>
        <v>8690437</v>
      </c>
      <c r="C1052" s="2" t="str">
        <f>"이승은"</f>
        <v>이승은</v>
      </c>
      <c r="D1052" s="2" t="str">
        <f t="shared" si="231"/>
        <v>F</v>
      </c>
      <c r="E1052" s="2" t="str">
        <f>"19700822"</f>
        <v>19700822</v>
      </c>
      <c r="F1052" s="2" t="str">
        <f>"54"</f>
        <v>54</v>
      </c>
      <c r="G1052" s="2" t="str">
        <f t="shared" si="226"/>
        <v>E78660</v>
      </c>
      <c r="H1052" s="2" t="str">
        <f t="shared" si="227"/>
        <v>가톨릭대학교 서울성모병원</v>
      </c>
      <c r="I1052" s="2" t="str">
        <f>"특수"</f>
        <v>특수</v>
      </c>
    </row>
    <row r="1053" spans="1:9" x14ac:dyDescent="0.3">
      <c r="A1053" s="2" t="str">
        <f t="shared" ref="A1053:A1069" si="232">"20250618"</f>
        <v>20250618</v>
      </c>
      <c r="B1053" s="2" t="str">
        <f>"22405444"</f>
        <v>22405444</v>
      </c>
      <c r="C1053" s="2" t="str">
        <f>"김혜빈"</f>
        <v>김혜빈</v>
      </c>
      <c r="D1053" s="2" t="str">
        <f t="shared" si="231"/>
        <v>F</v>
      </c>
      <c r="E1053" s="2" t="str">
        <f>"19890124"</f>
        <v>19890124</v>
      </c>
      <c r="F1053" s="2" t="str">
        <f>"36"</f>
        <v>36</v>
      </c>
      <c r="G1053" s="2" t="str">
        <f t="shared" si="226"/>
        <v>E78660</v>
      </c>
      <c r="H1053" s="2" t="str">
        <f t="shared" si="227"/>
        <v>가톨릭대학교 서울성모병원</v>
      </c>
      <c r="I1053" s="2" t="str">
        <f>"배치전"</f>
        <v>배치전</v>
      </c>
    </row>
    <row r="1054" spans="1:9" x14ac:dyDescent="0.3">
      <c r="A1054" s="2" t="str">
        <f t="shared" si="232"/>
        <v>20250618</v>
      </c>
      <c r="B1054" s="2" t="str">
        <f>"25807533"</f>
        <v>25807533</v>
      </c>
      <c r="C1054" s="2" t="str">
        <f>"이지민"</f>
        <v>이지민</v>
      </c>
      <c r="D1054" s="2" t="str">
        <f t="shared" si="231"/>
        <v>F</v>
      </c>
      <c r="E1054" s="2" t="str">
        <f>"19891107"</f>
        <v>19891107</v>
      </c>
      <c r="F1054" s="2" t="str">
        <f>"35"</f>
        <v>35</v>
      </c>
      <c r="G1054" s="2" t="str">
        <f t="shared" si="226"/>
        <v>E78660</v>
      </c>
      <c r="H1054" s="2" t="str">
        <f t="shared" si="227"/>
        <v>가톨릭대학교 서울성모병원</v>
      </c>
      <c r="I1054" s="2" t="str">
        <f>"특수"</f>
        <v>특수</v>
      </c>
    </row>
    <row r="1055" spans="1:9" x14ac:dyDescent="0.3">
      <c r="A1055" s="2" t="str">
        <f t="shared" si="232"/>
        <v>20250618</v>
      </c>
      <c r="B1055" s="2" t="str">
        <f>"27840840"</f>
        <v>27840840</v>
      </c>
      <c r="C1055" s="2" t="str">
        <f>"이선우"</f>
        <v>이선우</v>
      </c>
      <c r="D1055" s="2" t="str">
        <f t="shared" si="231"/>
        <v>F</v>
      </c>
      <c r="E1055" s="2" t="str">
        <f>"19930601"</f>
        <v>19930601</v>
      </c>
      <c r="F1055" s="2" t="str">
        <f>"32"</f>
        <v>32</v>
      </c>
      <c r="G1055" s="2" t="str">
        <f t="shared" si="226"/>
        <v>E78660</v>
      </c>
      <c r="H1055" s="2" t="str">
        <f t="shared" si="227"/>
        <v>가톨릭대학교 서울성모병원</v>
      </c>
      <c r="I1055" s="2" t="str">
        <f>"배치전"</f>
        <v>배치전</v>
      </c>
    </row>
    <row r="1056" spans="1:9" x14ac:dyDescent="0.3">
      <c r="A1056" s="2" t="str">
        <f t="shared" si="232"/>
        <v>20250618</v>
      </c>
      <c r="B1056" s="2" t="str">
        <f>"30011604"</f>
        <v>30011604</v>
      </c>
      <c r="C1056" s="2" t="str">
        <f>"김민지"</f>
        <v>김민지</v>
      </c>
      <c r="D1056" s="2" t="str">
        <f t="shared" si="231"/>
        <v>F</v>
      </c>
      <c r="E1056" s="2" t="str">
        <f>"19910606"</f>
        <v>19910606</v>
      </c>
      <c r="F1056" s="2" t="str">
        <f>"34"</f>
        <v>34</v>
      </c>
      <c r="G1056" s="2" t="str">
        <f t="shared" si="226"/>
        <v>E78660</v>
      </c>
      <c r="H1056" s="2" t="str">
        <f t="shared" si="227"/>
        <v>가톨릭대학교 서울성모병원</v>
      </c>
      <c r="I1056" s="2" t="str">
        <f t="shared" ref="I1056:I1074" si="233">"특수"</f>
        <v>특수</v>
      </c>
    </row>
    <row r="1057" spans="1:9" x14ac:dyDescent="0.3">
      <c r="A1057" s="2" t="str">
        <f t="shared" si="232"/>
        <v>20250618</v>
      </c>
      <c r="B1057" s="2" t="str">
        <f>"31177434"</f>
        <v>31177434</v>
      </c>
      <c r="C1057" s="2" t="str">
        <f>"황채영"</f>
        <v>황채영</v>
      </c>
      <c r="D1057" s="2" t="str">
        <f t="shared" si="231"/>
        <v>F</v>
      </c>
      <c r="E1057" s="2" t="str">
        <f>"19940706"</f>
        <v>19940706</v>
      </c>
      <c r="F1057" s="2" t="str">
        <f>"30"</f>
        <v>30</v>
      </c>
      <c r="G1057" s="2" t="str">
        <f t="shared" si="226"/>
        <v>E78660</v>
      </c>
      <c r="H1057" s="2" t="str">
        <f t="shared" si="227"/>
        <v>가톨릭대학교 서울성모병원</v>
      </c>
      <c r="I1057" s="2" t="str">
        <f t="shared" si="233"/>
        <v>특수</v>
      </c>
    </row>
    <row r="1058" spans="1:9" x14ac:dyDescent="0.3">
      <c r="A1058" s="2" t="str">
        <f t="shared" si="232"/>
        <v>20250618</v>
      </c>
      <c r="B1058" s="2" t="str">
        <f>"32008223"</f>
        <v>32008223</v>
      </c>
      <c r="C1058" s="2" t="str">
        <f>"김민서"</f>
        <v>김민서</v>
      </c>
      <c r="D1058" s="2" t="str">
        <f t="shared" si="231"/>
        <v>F</v>
      </c>
      <c r="E1058" s="2" t="str">
        <f>"20000323"</f>
        <v>20000323</v>
      </c>
      <c r="F1058" s="2" t="str">
        <f>"25"</f>
        <v>25</v>
      </c>
      <c r="G1058" s="2" t="str">
        <f t="shared" si="226"/>
        <v>E78660</v>
      </c>
      <c r="H1058" s="2" t="str">
        <f t="shared" si="227"/>
        <v>가톨릭대학교 서울성모병원</v>
      </c>
      <c r="I1058" s="2" t="str">
        <f t="shared" si="233"/>
        <v>특수</v>
      </c>
    </row>
    <row r="1059" spans="1:9" x14ac:dyDescent="0.3">
      <c r="A1059" s="2" t="str">
        <f t="shared" si="232"/>
        <v>20250618</v>
      </c>
      <c r="B1059" s="2" t="str">
        <f>"32222432"</f>
        <v>32222432</v>
      </c>
      <c r="C1059" s="2" t="str">
        <f>"이진세"</f>
        <v>이진세</v>
      </c>
      <c r="D1059" s="2" t="str">
        <f>"M"</f>
        <v>M</v>
      </c>
      <c r="E1059" s="2" t="str">
        <f>"19890127"</f>
        <v>19890127</v>
      </c>
      <c r="F1059" s="2" t="str">
        <f>"36"</f>
        <v>36</v>
      </c>
      <c r="G1059" s="2" t="str">
        <f t="shared" si="226"/>
        <v>E78660</v>
      </c>
      <c r="H1059" s="2" t="str">
        <f t="shared" si="227"/>
        <v>가톨릭대학교 서울성모병원</v>
      </c>
      <c r="I1059" s="2" t="str">
        <f t="shared" si="233"/>
        <v>특수</v>
      </c>
    </row>
    <row r="1060" spans="1:9" x14ac:dyDescent="0.3">
      <c r="A1060" s="2" t="str">
        <f t="shared" si="232"/>
        <v>20250618</v>
      </c>
      <c r="B1060" s="2" t="str">
        <f>"32304703"</f>
        <v>32304703</v>
      </c>
      <c r="C1060" s="2" t="str">
        <f>"노현희"</f>
        <v>노현희</v>
      </c>
      <c r="D1060" s="2" t="str">
        <f>"F"</f>
        <v>F</v>
      </c>
      <c r="E1060" s="2" t="str">
        <f>"19950712"</f>
        <v>19950712</v>
      </c>
      <c r="F1060" s="2" t="str">
        <f>"29"</f>
        <v>29</v>
      </c>
      <c r="G1060" s="2" t="str">
        <f t="shared" si="226"/>
        <v>E78660</v>
      </c>
      <c r="H1060" s="2" t="str">
        <f t="shared" si="227"/>
        <v>가톨릭대학교 서울성모병원</v>
      </c>
      <c r="I1060" s="2" t="str">
        <f t="shared" si="233"/>
        <v>특수</v>
      </c>
    </row>
    <row r="1061" spans="1:9" x14ac:dyDescent="0.3">
      <c r="A1061" s="2" t="str">
        <f t="shared" si="232"/>
        <v>20250618</v>
      </c>
      <c r="B1061" s="2" t="str">
        <f>"33370413"</f>
        <v>33370413</v>
      </c>
      <c r="C1061" s="2" t="str">
        <f>"이다현"</f>
        <v>이다현</v>
      </c>
      <c r="D1061" s="2" t="str">
        <f>"F"</f>
        <v>F</v>
      </c>
      <c r="E1061" s="2" t="str">
        <f>"19960302"</f>
        <v>19960302</v>
      </c>
      <c r="F1061" s="2" t="str">
        <f>"29"</f>
        <v>29</v>
      </c>
      <c r="G1061" s="2" t="str">
        <f t="shared" si="226"/>
        <v>E78660</v>
      </c>
      <c r="H1061" s="2" t="str">
        <f t="shared" si="227"/>
        <v>가톨릭대학교 서울성모병원</v>
      </c>
      <c r="I1061" s="2" t="str">
        <f t="shared" si="233"/>
        <v>특수</v>
      </c>
    </row>
    <row r="1062" spans="1:9" x14ac:dyDescent="0.3">
      <c r="A1062" s="2" t="str">
        <f t="shared" si="232"/>
        <v>20250618</v>
      </c>
      <c r="B1062" s="2" t="str">
        <f>"36152056"</f>
        <v>36152056</v>
      </c>
      <c r="C1062" s="2" t="str">
        <f>"최수현"</f>
        <v>최수현</v>
      </c>
      <c r="D1062" s="2" t="str">
        <f>"F"</f>
        <v>F</v>
      </c>
      <c r="E1062" s="2" t="str">
        <f>"19980903"</f>
        <v>19980903</v>
      </c>
      <c r="F1062" s="2" t="str">
        <f>"26"</f>
        <v>26</v>
      </c>
      <c r="G1062" s="2" t="str">
        <f t="shared" si="226"/>
        <v>E78660</v>
      </c>
      <c r="H1062" s="2" t="str">
        <f t="shared" si="227"/>
        <v>가톨릭대학교 서울성모병원</v>
      </c>
      <c r="I1062" s="2" t="str">
        <f t="shared" si="233"/>
        <v>특수</v>
      </c>
    </row>
    <row r="1063" spans="1:9" x14ac:dyDescent="0.3">
      <c r="A1063" s="2" t="str">
        <f t="shared" si="232"/>
        <v>20250618</v>
      </c>
      <c r="B1063" s="2" t="str">
        <f>"36716526"</f>
        <v>36716526</v>
      </c>
      <c r="C1063" s="2" t="str">
        <f>"손희승"</f>
        <v>손희승</v>
      </c>
      <c r="D1063" s="2" t="str">
        <f>"M"</f>
        <v>M</v>
      </c>
      <c r="E1063" s="2" t="str">
        <f>"19900320"</f>
        <v>19900320</v>
      </c>
      <c r="F1063" s="2" t="str">
        <f>"35"</f>
        <v>35</v>
      </c>
      <c r="G1063" s="2" t="str">
        <f t="shared" si="226"/>
        <v>E78660</v>
      </c>
      <c r="H1063" s="2" t="str">
        <f t="shared" si="227"/>
        <v>가톨릭대학교 서울성모병원</v>
      </c>
      <c r="I1063" s="2" t="str">
        <f t="shared" si="233"/>
        <v>특수</v>
      </c>
    </row>
    <row r="1064" spans="1:9" x14ac:dyDescent="0.3">
      <c r="A1064" s="2" t="str">
        <f t="shared" si="232"/>
        <v>20250618</v>
      </c>
      <c r="B1064" s="2" t="str">
        <f>"37056125"</f>
        <v>37056125</v>
      </c>
      <c r="C1064" s="2" t="str">
        <f>"신혜민"</f>
        <v>신혜민</v>
      </c>
      <c r="D1064" s="2" t="str">
        <f>"F"</f>
        <v>F</v>
      </c>
      <c r="E1064" s="2" t="str">
        <f>"19960730"</f>
        <v>19960730</v>
      </c>
      <c r="F1064" s="2" t="str">
        <f>"28"</f>
        <v>28</v>
      </c>
      <c r="G1064" s="2" t="str">
        <f t="shared" si="226"/>
        <v>E78660</v>
      </c>
      <c r="H1064" s="2" t="str">
        <f t="shared" si="227"/>
        <v>가톨릭대학교 서울성모병원</v>
      </c>
      <c r="I1064" s="2" t="str">
        <f t="shared" si="233"/>
        <v>특수</v>
      </c>
    </row>
    <row r="1065" spans="1:9" x14ac:dyDescent="0.3">
      <c r="A1065" s="2" t="str">
        <f t="shared" si="232"/>
        <v>20250618</v>
      </c>
      <c r="B1065" s="2" t="str">
        <f>"37056352"</f>
        <v>37056352</v>
      </c>
      <c r="C1065" s="2" t="str">
        <f>"김수화"</f>
        <v>김수화</v>
      </c>
      <c r="D1065" s="2" t="str">
        <f>"F"</f>
        <v>F</v>
      </c>
      <c r="E1065" s="2" t="str">
        <f>"19860116"</f>
        <v>19860116</v>
      </c>
      <c r="F1065" s="2" t="str">
        <f>"39"</f>
        <v>39</v>
      </c>
      <c r="G1065" s="2" t="str">
        <f t="shared" si="226"/>
        <v>E78660</v>
      </c>
      <c r="H1065" s="2" t="str">
        <f t="shared" si="227"/>
        <v>가톨릭대학교 서울성모병원</v>
      </c>
      <c r="I1065" s="2" t="str">
        <f t="shared" si="233"/>
        <v>특수</v>
      </c>
    </row>
    <row r="1066" spans="1:9" x14ac:dyDescent="0.3">
      <c r="A1066" s="2" t="str">
        <f t="shared" si="232"/>
        <v>20250618</v>
      </c>
      <c r="B1066" s="2" t="str">
        <f>"38310234"</f>
        <v>38310234</v>
      </c>
      <c r="C1066" s="2" t="str">
        <f>"나지현"</f>
        <v>나지현</v>
      </c>
      <c r="D1066" s="2" t="str">
        <f>"F"</f>
        <v>F</v>
      </c>
      <c r="E1066" s="2" t="str">
        <f>"20000705"</f>
        <v>20000705</v>
      </c>
      <c r="F1066" s="2" t="str">
        <f>"24"</f>
        <v>24</v>
      </c>
      <c r="G1066" s="2" t="str">
        <f t="shared" si="226"/>
        <v>E78660</v>
      </c>
      <c r="H1066" s="2" t="str">
        <f t="shared" si="227"/>
        <v>가톨릭대학교 서울성모병원</v>
      </c>
      <c r="I1066" s="2" t="str">
        <f t="shared" si="233"/>
        <v>특수</v>
      </c>
    </row>
    <row r="1067" spans="1:9" x14ac:dyDescent="0.3">
      <c r="A1067" s="2" t="str">
        <f t="shared" si="232"/>
        <v>20250618</v>
      </c>
      <c r="B1067" s="2" t="str">
        <f>"39578982"</f>
        <v>39578982</v>
      </c>
      <c r="C1067" s="2" t="str">
        <f>"서혜정"</f>
        <v>서혜정</v>
      </c>
      <c r="D1067" s="2" t="str">
        <f>"F"</f>
        <v>F</v>
      </c>
      <c r="E1067" s="2" t="str">
        <f>"19991201"</f>
        <v>19991201</v>
      </c>
      <c r="F1067" s="2" t="str">
        <f>"25"</f>
        <v>25</v>
      </c>
      <c r="G1067" s="2" t="str">
        <f t="shared" si="226"/>
        <v>E78660</v>
      </c>
      <c r="H1067" s="2" t="str">
        <f t="shared" si="227"/>
        <v>가톨릭대학교 서울성모병원</v>
      </c>
      <c r="I1067" s="2" t="str">
        <f t="shared" si="233"/>
        <v>특수</v>
      </c>
    </row>
    <row r="1068" spans="1:9" x14ac:dyDescent="0.3">
      <c r="A1068" s="2" t="str">
        <f t="shared" si="232"/>
        <v>20250618</v>
      </c>
      <c r="B1068" s="2" t="str">
        <f>"6667082"</f>
        <v>6667082</v>
      </c>
      <c r="C1068" s="2" t="str">
        <f>"임홍재"</f>
        <v>임홍재</v>
      </c>
      <c r="D1068" s="2" t="str">
        <f>"M"</f>
        <v>M</v>
      </c>
      <c r="E1068" s="2" t="str">
        <f>"19730103"</f>
        <v>19730103</v>
      </c>
      <c r="F1068" s="2" t="str">
        <f>"52"</f>
        <v>52</v>
      </c>
      <c r="G1068" s="2" t="str">
        <f t="shared" si="226"/>
        <v>E78660</v>
      </c>
      <c r="H1068" s="2" t="str">
        <f t="shared" si="227"/>
        <v>가톨릭대학교 서울성모병원</v>
      </c>
      <c r="I1068" s="2" t="str">
        <f t="shared" si="233"/>
        <v>특수</v>
      </c>
    </row>
    <row r="1069" spans="1:9" x14ac:dyDescent="0.3">
      <c r="A1069" s="2" t="str">
        <f t="shared" si="232"/>
        <v>20250618</v>
      </c>
      <c r="B1069" s="2" t="str">
        <f>"8551667"</f>
        <v>8551667</v>
      </c>
      <c r="C1069" s="2" t="str">
        <f>"이수청"</f>
        <v>이수청</v>
      </c>
      <c r="D1069" s="2" t="str">
        <f>"M"</f>
        <v>M</v>
      </c>
      <c r="E1069" s="2" t="str">
        <f>"19680101"</f>
        <v>19680101</v>
      </c>
      <c r="F1069" s="2" t="str">
        <f>"57"</f>
        <v>57</v>
      </c>
      <c r="G1069" s="2" t="str">
        <f t="shared" si="226"/>
        <v>E78660</v>
      </c>
      <c r="H1069" s="2" t="str">
        <f t="shared" si="227"/>
        <v>가톨릭대학교 서울성모병원</v>
      </c>
      <c r="I1069" s="2" t="str">
        <f t="shared" si="233"/>
        <v>특수</v>
      </c>
    </row>
    <row r="1070" spans="1:9" x14ac:dyDescent="0.3">
      <c r="A1070" s="2" t="str">
        <f t="shared" ref="A1070:A1080" si="234">"20250619"</f>
        <v>20250619</v>
      </c>
      <c r="B1070" s="2" t="str">
        <f>"14494904"</f>
        <v>14494904</v>
      </c>
      <c r="C1070" s="2" t="str">
        <f>"김수연"</f>
        <v>김수연</v>
      </c>
      <c r="D1070" s="2" t="str">
        <f t="shared" ref="D1070:D1083" si="235">"F"</f>
        <v>F</v>
      </c>
      <c r="E1070" s="2" t="str">
        <f>"19961026"</f>
        <v>19961026</v>
      </c>
      <c r="F1070" s="2" t="str">
        <f>"28"</f>
        <v>28</v>
      </c>
      <c r="G1070" s="2" t="str">
        <f t="shared" si="226"/>
        <v>E78660</v>
      </c>
      <c r="H1070" s="2" t="str">
        <f t="shared" si="227"/>
        <v>가톨릭대학교 서울성모병원</v>
      </c>
      <c r="I1070" s="2" t="str">
        <f t="shared" si="233"/>
        <v>특수</v>
      </c>
    </row>
    <row r="1071" spans="1:9" x14ac:dyDescent="0.3">
      <c r="A1071" s="2" t="str">
        <f t="shared" si="234"/>
        <v>20250619</v>
      </c>
      <c r="B1071" s="2" t="str">
        <f>"21497290"</f>
        <v>21497290</v>
      </c>
      <c r="C1071" s="2" t="str">
        <f>"이경남"</f>
        <v>이경남</v>
      </c>
      <c r="D1071" s="2" t="str">
        <f t="shared" si="235"/>
        <v>F</v>
      </c>
      <c r="E1071" s="2" t="str">
        <f>"19870131"</f>
        <v>19870131</v>
      </c>
      <c r="F1071" s="2" t="str">
        <f>"38"</f>
        <v>38</v>
      </c>
      <c r="G1071" s="2" t="str">
        <f t="shared" si="226"/>
        <v>E78660</v>
      </c>
      <c r="H1071" s="2" t="str">
        <f t="shared" si="227"/>
        <v>가톨릭대학교 서울성모병원</v>
      </c>
      <c r="I1071" s="2" t="str">
        <f t="shared" si="233"/>
        <v>특수</v>
      </c>
    </row>
    <row r="1072" spans="1:9" x14ac:dyDescent="0.3">
      <c r="A1072" s="2" t="str">
        <f t="shared" si="234"/>
        <v>20250619</v>
      </c>
      <c r="B1072" s="2" t="str">
        <f>"25252106"</f>
        <v>25252106</v>
      </c>
      <c r="C1072" s="2" t="str">
        <f>"곽은영"</f>
        <v>곽은영</v>
      </c>
      <c r="D1072" s="2" t="str">
        <f t="shared" si="235"/>
        <v>F</v>
      </c>
      <c r="E1072" s="2" t="str">
        <f>"19891210"</f>
        <v>19891210</v>
      </c>
      <c r="F1072" s="2" t="str">
        <f>"35"</f>
        <v>35</v>
      </c>
      <c r="G1072" s="2" t="str">
        <f t="shared" si="226"/>
        <v>E78660</v>
      </c>
      <c r="H1072" s="2" t="str">
        <f t="shared" si="227"/>
        <v>가톨릭대학교 서울성모병원</v>
      </c>
      <c r="I1072" s="2" t="str">
        <f t="shared" si="233"/>
        <v>특수</v>
      </c>
    </row>
    <row r="1073" spans="1:9" x14ac:dyDescent="0.3">
      <c r="A1073" s="2" t="str">
        <f t="shared" si="234"/>
        <v>20250619</v>
      </c>
      <c r="B1073" s="2" t="str">
        <f>"29642306"</f>
        <v>29642306</v>
      </c>
      <c r="C1073" s="2" t="str">
        <f>"임정은"</f>
        <v>임정은</v>
      </c>
      <c r="D1073" s="2" t="str">
        <f t="shared" si="235"/>
        <v>F</v>
      </c>
      <c r="E1073" s="2" t="str">
        <f>"19970220"</f>
        <v>19970220</v>
      </c>
      <c r="F1073" s="2" t="str">
        <f>"28"</f>
        <v>28</v>
      </c>
      <c r="G1073" s="2" t="str">
        <f t="shared" si="226"/>
        <v>E78660</v>
      </c>
      <c r="H1073" s="2" t="str">
        <f t="shared" si="227"/>
        <v>가톨릭대학교 서울성모병원</v>
      </c>
      <c r="I1073" s="2" t="str">
        <f t="shared" si="233"/>
        <v>특수</v>
      </c>
    </row>
    <row r="1074" spans="1:9" x14ac:dyDescent="0.3">
      <c r="A1074" s="2" t="str">
        <f t="shared" si="234"/>
        <v>20250619</v>
      </c>
      <c r="B1074" s="2" t="str">
        <f>"34209322"</f>
        <v>34209322</v>
      </c>
      <c r="C1074" s="2" t="str">
        <f>"고은빛"</f>
        <v>고은빛</v>
      </c>
      <c r="D1074" s="2" t="str">
        <f t="shared" si="235"/>
        <v>F</v>
      </c>
      <c r="E1074" s="2" t="str">
        <f>"19961112"</f>
        <v>19961112</v>
      </c>
      <c r="F1074" s="2" t="str">
        <f>"28"</f>
        <v>28</v>
      </c>
      <c r="G1074" s="2" t="str">
        <f t="shared" si="226"/>
        <v>E78660</v>
      </c>
      <c r="H1074" s="2" t="str">
        <f t="shared" si="227"/>
        <v>가톨릭대학교 서울성모병원</v>
      </c>
      <c r="I1074" s="2" t="str">
        <f t="shared" si="233"/>
        <v>특수</v>
      </c>
    </row>
    <row r="1075" spans="1:9" x14ac:dyDescent="0.3">
      <c r="A1075" s="2" t="str">
        <f t="shared" si="234"/>
        <v>20250619</v>
      </c>
      <c r="B1075" s="2" t="str">
        <f>"35467711"</f>
        <v>35467711</v>
      </c>
      <c r="C1075" s="2" t="str">
        <f>"조예진"</f>
        <v>조예진</v>
      </c>
      <c r="D1075" s="2" t="str">
        <f t="shared" si="235"/>
        <v>F</v>
      </c>
      <c r="E1075" s="2" t="str">
        <f>"19971017"</f>
        <v>19971017</v>
      </c>
      <c r="F1075" s="2" t="str">
        <f>"27"</f>
        <v>27</v>
      </c>
      <c r="G1075" s="2" t="str">
        <f t="shared" si="226"/>
        <v>E78660</v>
      </c>
      <c r="H1075" s="2" t="str">
        <f t="shared" si="227"/>
        <v>가톨릭대학교 서울성모병원</v>
      </c>
      <c r="I1075" s="2" t="str">
        <f>"배치전"</f>
        <v>배치전</v>
      </c>
    </row>
    <row r="1076" spans="1:9" x14ac:dyDescent="0.3">
      <c r="A1076" s="2" t="str">
        <f t="shared" si="234"/>
        <v>20250619</v>
      </c>
      <c r="B1076" s="2" t="str">
        <f>"35733774"</f>
        <v>35733774</v>
      </c>
      <c r="C1076" s="2" t="str">
        <f>"오소영"</f>
        <v>오소영</v>
      </c>
      <c r="D1076" s="2" t="str">
        <f t="shared" si="235"/>
        <v>F</v>
      </c>
      <c r="E1076" s="2" t="str">
        <f>"20021028"</f>
        <v>20021028</v>
      </c>
      <c r="F1076" s="2" t="str">
        <f>"22"</f>
        <v>22</v>
      </c>
      <c r="G1076" s="2" t="str">
        <f t="shared" si="226"/>
        <v>E78660</v>
      </c>
      <c r="H1076" s="2" t="str">
        <f t="shared" si="227"/>
        <v>가톨릭대학교 서울성모병원</v>
      </c>
      <c r="I1076" s="2" t="str">
        <f>"배치전"</f>
        <v>배치전</v>
      </c>
    </row>
    <row r="1077" spans="1:9" x14ac:dyDescent="0.3">
      <c r="A1077" s="2" t="str">
        <f t="shared" si="234"/>
        <v>20250619</v>
      </c>
      <c r="B1077" s="2" t="str">
        <f>"35734566"</f>
        <v>35734566</v>
      </c>
      <c r="C1077" s="2" t="str">
        <f>"공현수"</f>
        <v>공현수</v>
      </c>
      <c r="D1077" s="2" t="str">
        <f t="shared" si="235"/>
        <v>F</v>
      </c>
      <c r="E1077" s="2" t="str">
        <f>"20010114"</f>
        <v>20010114</v>
      </c>
      <c r="F1077" s="2" t="str">
        <f>"24"</f>
        <v>24</v>
      </c>
      <c r="G1077" s="2" t="str">
        <f t="shared" si="226"/>
        <v>E78660</v>
      </c>
      <c r="H1077" s="2" t="str">
        <f t="shared" si="227"/>
        <v>가톨릭대학교 서울성모병원</v>
      </c>
      <c r="I1077" s="2" t="str">
        <f>"배치전"</f>
        <v>배치전</v>
      </c>
    </row>
    <row r="1078" spans="1:9" x14ac:dyDescent="0.3">
      <c r="A1078" s="2" t="str">
        <f t="shared" si="234"/>
        <v>20250619</v>
      </c>
      <c r="B1078" s="2" t="str">
        <f>"39231494"</f>
        <v>39231494</v>
      </c>
      <c r="C1078" s="2" t="str">
        <f>"임진"</f>
        <v>임진</v>
      </c>
      <c r="D1078" s="2" t="str">
        <f t="shared" si="235"/>
        <v>F</v>
      </c>
      <c r="E1078" s="2" t="str">
        <f>"19990708"</f>
        <v>19990708</v>
      </c>
      <c r="F1078" s="2" t="str">
        <f>"25"</f>
        <v>25</v>
      </c>
      <c r="G1078" s="2" t="str">
        <f t="shared" si="226"/>
        <v>E78660</v>
      </c>
      <c r="H1078" s="2" t="str">
        <f t="shared" si="227"/>
        <v>가톨릭대학교 서울성모병원</v>
      </c>
      <c r="I1078" s="2" t="str">
        <f>"특수"</f>
        <v>특수</v>
      </c>
    </row>
    <row r="1079" spans="1:9" x14ac:dyDescent="0.3">
      <c r="A1079" s="2" t="str">
        <f t="shared" si="234"/>
        <v>20250619</v>
      </c>
      <c r="B1079" s="2" t="str">
        <f>"40778356"</f>
        <v>40778356</v>
      </c>
      <c r="C1079" s="2" t="str">
        <f>"이혜원"</f>
        <v>이혜원</v>
      </c>
      <c r="D1079" s="2" t="str">
        <f t="shared" si="235"/>
        <v>F</v>
      </c>
      <c r="E1079" s="2" t="str">
        <f>"19971217"</f>
        <v>19971217</v>
      </c>
      <c r="F1079" s="2" t="str">
        <f>"27"</f>
        <v>27</v>
      </c>
      <c r="G1079" s="2" t="str">
        <f t="shared" si="226"/>
        <v>E78660</v>
      </c>
      <c r="H1079" s="2" t="str">
        <f t="shared" si="227"/>
        <v>가톨릭대학교 서울성모병원</v>
      </c>
      <c r="I1079" s="2" t="str">
        <f>"배치전"</f>
        <v>배치전</v>
      </c>
    </row>
    <row r="1080" spans="1:9" x14ac:dyDescent="0.3">
      <c r="A1080" s="2" t="str">
        <f t="shared" si="234"/>
        <v>20250619</v>
      </c>
      <c r="B1080" s="2" t="str">
        <f>"41031071"</f>
        <v>41031071</v>
      </c>
      <c r="C1080" s="2" t="str">
        <f>"김경은"</f>
        <v>김경은</v>
      </c>
      <c r="D1080" s="2" t="str">
        <f t="shared" si="235"/>
        <v>F</v>
      </c>
      <c r="E1080" s="2" t="str">
        <f>"19750520"</f>
        <v>19750520</v>
      </c>
      <c r="F1080" s="2" t="str">
        <f>"50"</f>
        <v>50</v>
      </c>
      <c r="G1080" s="2" t="str">
        <f t="shared" si="226"/>
        <v>E78660</v>
      </c>
      <c r="H1080" s="2" t="str">
        <f t="shared" si="227"/>
        <v>가톨릭대학교 서울성모병원</v>
      </c>
      <c r="I1080" s="2" t="str">
        <f>"배치전"</f>
        <v>배치전</v>
      </c>
    </row>
    <row r="1081" spans="1:9" x14ac:dyDescent="0.3">
      <c r="A1081" s="2" t="str">
        <f t="shared" ref="A1081:A1093" si="236">"20250623"</f>
        <v>20250623</v>
      </c>
      <c r="B1081" s="2" t="str">
        <f>"18473330"</f>
        <v>18473330</v>
      </c>
      <c r="C1081" s="2" t="str">
        <f>"홍희자"</f>
        <v>홍희자</v>
      </c>
      <c r="D1081" s="2" t="str">
        <f t="shared" si="235"/>
        <v>F</v>
      </c>
      <c r="E1081" s="2" t="str">
        <f>"19751220"</f>
        <v>19751220</v>
      </c>
      <c r="F1081" s="2" t="str">
        <f>"49"</f>
        <v>49</v>
      </c>
      <c r="G1081" s="2" t="str">
        <f t="shared" si="226"/>
        <v>E78660</v>
      </c>
      <c r="H1081" s="2" t="str">
        <f t="shared" si="227"/>
        <v>가톨릭대학교 서울성모병원</v>
      </c>
      <c r="I1081" s="2" t="str">
        <f>"특수"</f>
        <v>특수</v>
      </c>
    </row>
    <row r="1082" spans="1:9" x14ac:dyDescent="0.3">
      <c r="A1082" s="2" t="str">
        <f t="shared" si="236"/>
        <v>20250623</v>
      </c>
      <c r="B1082" s="2" t="str">
        <f>"26070690"</f>
        <v>26070690</v>
      </c>
      <c r="C1082" s="2" t="str">
        <f>"권순영"</f>
        <v>권순영</v>
      </c>
      <c r="D1082" s="2" t="str">
        <f t="shared" si="235"/>
        <v>F</v>
      </c>
      <c r="E1082" s="2" t="str">
        <f>"19891123"</f>
        <v>19891123</v>
      </c>
      <c r="F1082" s="2" t="str">
        <f>"35"</f>
        <v>35</v>
      </c>
      <c r="G1082" s="2" t="str">
        <f t="shared" si="226"/>
        <v>E78660</v>
      </c>
      <c r="H1082" s="2" t="str">
        <f t="shared" si="227"/>
        <v>가톨릭대학교 서울성모병원</v>
      </c>
      <c r="I1082" s="2" t="str">
        <f>"배치전"</f>
        <v>배치전</v>
      </c>
    </row>
    <row r="1083" spans="1:9" x14ac:dyDescent="0.3">
      <c r="A1083" s="2" t="str">
        <f t="shared" si="236"/>
        <v>20250623</v>
      </c>
      <c r="B1083" s="2" t="str">
        <f>"27738662"</f>
        <v>27738662</v>
      </c>
      <c r="C1083" s="2" t="str">
        <f>"정경희"</f>
        <v>정경희</v>
      </c>
      <c r="D1083" s="2" t="str">
        <f t="shared" si="235"/>
        <v>F</v>
      </c>
      <c r="E1083" s="2" t="str">
        <f>"19910610"</f>
        <v>19910610</v>
      </c>
      <c r="F1083" s="2" t="str">
        <f>"34"</f>
        <v>34</v>
      </c>
      <c r="G1083" s="2" t="str">
        <f t="shared" si="226"/>
        <v>E78660</v>
      </c>
      <c r="H1083" s="2" t="str">
        <f t="shared" si="227"/>
        <v>가톨릭대학교 서울성모병원</v>
      </c>
      <c r="I1083" s="2" t="str">
        <f>"특수"</f>
        <v>특수</v>
      </c>
    </row>
    <row r="1084" spans="1:9" x14ac:dyDescent="0.3">
      <c r="A1084" s="2" t="str">
        <f t="shared" si="236"/>
        <v>20250623</v>
      </c>
      <c r="B1084" s="2" t="str">
        <f>"32302203"</f>
        <v>32302203</v>
      </c>
      <c r="C1084" s="2" t="str">
        <f>"남한솔"</f>
        <v>남한솔</v>
      </c>
      <c r="D1084" s="2" t="str">
        <f>"M"</f>
        <v>M</v>
      </c>
      <c r="E1084" s="2" t="str">
        <f>"19921010"</f>
        <v>19921010</v>
      </c>
      <c r="F1084" s="2" t="str">
        <f>"32"</f>
        <v>32</v>
      </c>
      <c r="G1084" s="2" t="str">
        <f t="shared" si="226"/>
        <v>E78660</v>
      </c>
      <c r="H1084" s="2" t="str">
        <f t="shared" si="227"/>
        <v>가톨릭대학교 서울성모병원</v>
      </c>
      <c r="I1084" s="2" t="str">
        <f>"특수"</f>
        <v>특수</v>
      </c>
    </row>
    <row r="1085" spans="1:9" x14ac:dyDescent="0.3">
      <c r="A1085" s="2" t="str">
        <f t="shared" si="236"/>
        <v>20250623</v>
      </c>
      <c r="B1085" s="2" t="str">
        <f>"32624924"</f>
        <v>32624924</v>
      </c>
      <c r="C1085" s="2" t="str">
        <f>"김남희"</f>
        <v>김남희</v>
      </c>
      <c r="D1085" s="2" t="str">
        <f t="shared" ref="D1085:D1093" si="237">"F"</f>
        <v>F</v>
      </c>
      <c r="E1085" s="2" t="str">
        <f>"19921230"</f>
        <v>19921230</v>
      </c>
      <c r="F1085" s="2" t="str">
        <f>"32"</f>
        <v>32</v>
      </c>
      <c r="G1085" s="2" t="str">
        <f t="shared" si="226"/>
        <v>E78660</v>
      </c>
      <c r="H1085" s="2" t="str">
        <f t="shared" si="227"/>
        <v>가톨릭대학교 서울성모병원</v>
      </c>
      <c r="I1085" s="2" t="str">
        <f>"배치전"</f>
        <v>배치전</v>
      </c>
    </row>
    <row r="1086" spans="1:9" x14ac:dyDescent="0.3">
      <c r="A1086" s="2" t="str">
        <f t="shared" si="236"/>
        <v>20250623</v>
      </c>
      <c r="B1086" s="2" t="str">
        <f>"37543071"</f>
        <v>37543071</v>
      </c>
      <c r="C1086" s="2" t="str">
        <f>"최다슬"</f>
        <v>최다슬</v>
      </c>
      <c r="D1086" s="2" t="str">
        <f t="shared" si="237"/>
        <v>F</v>
      </c>
      <c r="E1086" s="2" t="str">
        <f>"19950110"</f>
        <v>19950110</v>
      </c>
      <c r="F1086" s="2" t="str">
        <f>"30"</f>
        <v>30</v>
      </c>
      <c r="G1086" s="2" t="str">
        <f t="shared" si="226"/>
        <v>E78660</v>
      </c>
      <c r="H1086" s="2" t="str">
        <f t="shared" si="227"/>
        <v>가톨릭대학교 서울성모병원</v>
      </c>
      <c r="I1086" s="2" t="str">
        <f>"특수"</f>
        <v>특수</v>
      </c>
    </row>
    <row r="1087" spans="1:9" x14ac:dyDescent="0.3">
      <c r="A1087" s="2" t="str">
        <f t="shared" si="236"/>
        <v>20250623</v>
      </c>
      <c r="B1087" s="2" t="str">
        <f>"38352000"</f>
        <v>38352000</v>
      </c>
      <c r="C1087" s="2" t="str">
        <f>"양은혜"</f>
        <v>양은혜</v>
      </c>
      <c r="D1087" s="2" t="str">
        <f t="shared" si="237"/>
        <v>F</v>
      </c>
      <c r="E1087" s="2" t="str">
        <f>"19960305"</f>
        <v>19960305</v>
      </c>
      <c r="F1087" s="2" t="str">
        <f>"29"</f>
        <v>29</v>
      </c>
      <c r="G1087" s="2" t="str">
        <f t="shared" si="226"/>
        <v>E78660</v>
      </c>
      <c r="H1087" s="2" t="str">
        <f t="shared" si="227"/>
        <v>가톨릭대학교 서울성모병원</v>
      </c>
      <c r="I1087" s="2" t="str">
        <f>"특수"</f>
        <v>특수</v>
      </c>
    </row>
    <row r="1088" spans="1:9" x14ac:dyDescent="0.3">
      <c r="A1088" s="2" t="str">
        <f t="shared" si="236"/>
        <v>20250623</v>
      </c>
      <c r="B1088" s="2" t="str">
        <f>"38512392"</f>
        <v>38512392</v>
      </c>
      <c r="C1088" s="2" t="str">
        <f>"남윤지"</f>
        <v>남윤지</v>
      </c>
      <c r="D1088" s="2" t="str">
        <f t="shared" si="237"/>
        <v>F</v>
      </c>
      <c r="E1088" s="2" t="str">
        <f>"19991011"</f>
        <v>19991011</v>
      </c>
      <c r="F1088" s="2" t="str">
        <f>"25"</f>
        <v>25</v>
      </c>
      <c r="G1088" s="2" t="str">
        <f t="shared" si="226"/>
        <v>E78660</v>
      </c>
      <c r="H1088" s="2" t="str">
        <f t="shared" si="227"/>
        <v>가톨릭대학교 서울성모병원</v>
      </c>
      <c r="I1088" s="2" t="str">
        <f>"특수"</f>
        <v>특수</v>
      </c>
    </row>
    <row r="1089" spans="1:9" x14ac:dyDescent="0.3">
      <c r="A1089" s="2" t="str">
        <f t="shared" si="236"/>
        <v>20250623</v>
      </c>
      <c r="B1089" s="2" t="str">
        <f>"39231485"</f>
        <v>39231485</v>
      </c>
      <c r="C1089" s="2" t="str">
        <f>"박초원"</f>
        <v>박초원</v>
      </c>
      <c r="D1089" s="2" t="str">
        <f t="shared" si="237"/>
        <v>F</v>
      </c>
      <c r="E1089" s="2" t="str">
        <f>"19980502"</f>
        <v>19980502</v>
      </c>
      <c r="F1089" s="2" t="str">
        <f>"27"</f>
        <v>27</v>
      </c>
      <c r="G1089" s="2" t="str">
        <f t="shared" si="226"/>
        <v>E78660</v>
      </c>
      <c r="H1089" s="2" t="str">
        <f t="shared" si="227"/>
        <v>가톨릭대학교 서울성모병원</v>
      </c>
      <c r="I1089" s="2" t="str">
        <f>"배치전"</f>
        <v>배치전</v>
      </c>
    </row>
    <row r="1090" spans="1:9" x14ac:dyDescent="0.3">
      <c r="A1090" s="2" t="str">
        <f t="shared" si="236"/>
        <v>20250623</v>
      </c>
      <c r="B1090" s="2" t="str">
        <f>"39648751"</f>
        <v>39648751</v>
      </c>
      <c r="C1090" s="2" t="str">
        <f>"김지현"</f>
        <v>김지현</v>
      </c>
      <c r="D1090" s="2" t="str">
        <f t="shared" si="237"/>
        <v>F</v>
      </c>
      <c r="E1090" s="2" t="str">
        <f>"19960614"</f>
        <v>19960614</v>
      </c>
      <c r="F1090" s="2" t="str">
        <f>"29"</f>
        <v>29</v>
      </c>
      <c r="G1090" s="2" t="str">
        <f t="shared" si="226"/>
        <v>E78660</v>
      </c>
      <c r="H1090" s="2" t="str">
        <f t="shared" si="227"/>
        <v>가톨릭대학교 서울성모병원</v>
      </c>
      <c r="I1090" s="2" t="str">
        <f>"배치전"</f>
        <v>배치전</v>
      </c>
    </row>
    <row r="1091" spans="1:9" x14ac:dyDescent="0.3">
      <c r="A1091" s="2" t="str">
        <f t="shared" si="236"/>
        <v>20250623</v>
      </c>
      <c r="B1091" s="2" t="str">
        <f>"39713751"</f>
        <v>39713751</v>
      </c>
      <c r="C1091" s="2" t="str">
        <f>"최희원"</f>
        <v>최희원</v>
      </c>
      <c r="D1091" s="2" t="str">
        <f t="shared" si="237"/>
        <v>F</v>
      </c>
      <c r="E1091" s="2" t="str">
        <f>"19980209"</f>
        <v>19980209</v>
      </c>
      <c r="F1091" s="2" t="str">
        <f>"27"</f>
        <v>27</v>
      </c>
      <c r="G1091" s="2" t="str">
        <f t="shared" si="226"/>
        <v>E78660</v>
      </c>
      <c r="H1091" s="2" t="str">
        <f t="shared" si="227"/>
        <v>가톨릭대학교 서울성모병원</v>
      </c>
      <c r="I1091" s="2" t="str">
        <f>"특수"</f>
        <v>특수</v>
      </c>
    </row>
    <row r="1092" spans="1:9" x14ac:dyDescent="0.3">
      <c r="A1092" s="2" t="str">
        <f t="shared" si="236"/>
        <v>20250623</v>
      </c>
      <c r="B1092" s="2" t="str">
        <f>"40722441"</f>
        <v>40722441</v>
      </c>
      <c r="C1092" s="2" t="str">
        <f>"김민정"</f>
        <v>김민정</v>
      </c>
      <c r="D1092" s="2" t="str">
        <f t="shared" si="237"/>
        <v>F</v>
      </c>
      <c r="E1092" s="2" t="str">
        <f>"20000215"</f>
        <v>20000215</v>
      </c>
      <c r="F1092" s="2" t="str">
        <f>"25"</f>
        <v>25</v>
      </c>
      <c r="G1092" s="2" t="str">
        <f t="shared" si="226"/>
        <v>E78660</v>
      </c>
      <c r="H1092" s="2" t="str">
        <f t="shared" si="227"/>
        <v>가톨릭대학교 서울성모병원</v>
      </c>
      <c r="I1092" s="2" t="str">
        <f>"배치전"</f>
        <v>배치전</v>
      </c>
    </row>
    <row r="1093" spans="1:9" x14ac:dyDescent="0.3">
      <c r="A1093" s="2" t="str">
        <f t="shared" si="236"/>
        <v>20250623</v>
      </c>
      <c r="B1093" s="2" t="str">
        <f>"40966151"</f>
        <v>40966151</v>
      </c>
      <c r="C1093" s="2" t="str">
        <f>"최지희"</f>
        <v>최지희</v>
      </c>
      <c r="D1093" s="2" t="str">
        <f t="shared" si="237"/>
        <v>F</v>
      </c>
      <c r="E1093" s="2" t="str">
        <f>"19991026"</f>
        <v>19991026</v>
      </c>
      <c r="F1093" s="2" t="str">
        <f>"25"</f>
        <v>25</v>
      </c>
      <c r="G1093" s="2" t="str">
        <f t="shared" ref="G1093:G1156" si="238">"E78660"</f>
        <v>E78660</v>
      </c>
      <c r="H1093" s="2" t="str">
        <f t="shared" ref="H1093:H1156" si="239">"가톨릭대학교 서울성모병원"</f>
        <v>가톨릭대학교 서울성모병원</v>
      </c>
      <c r="I1093" s="2" t="str">
        <f>"배치전"</f>
        <v>배치전</v>
      </c>
    </row>
    <row r="1094" spans="1:9" x14ac:dyDescent="0.3">
      <c r="A1094" s="2" t="str">
        <f t="shared" ref="A1094:A1101" si="240">"20250624"</f>
        <v>20250624</v>
      </c>
      <c r="B1094" s="2" t="str">
        <f>"11723665"</f>
        <v>11723665</v>
      </c>
      <c r="C1094" s="2" t="str">
        <f>"김중석"</f>
        <v>김중석</v>
      </c>
      <c r="D1094" s="2" t="str">
        <f>"M"</f>
        <v>M</v>
      </c>
      <c r="E1094" s="2" t="str">
        <f>"19720819"</f>
        <v>19720819</v>
      </c>
      <c r="F1094" s="2" t="str">
        <f>"52"</f>
        <v>52</v>
      </c>
      <c r="G1094" s="2" t="str">
        <f t="shared" si="238"/>
        <v>E78660</v>
      </c>
      <c r="H1094" s="2" t="str">
        <f t="shared" si="239"/>
        <v>가톨릭대학교 서울성모병원</v>
      </c>
      <c r="I1094" s="2" t="str">
        <f t="shared" ref="I1094:I1101" si="241">"특수"</f>
        <v>특수</v>
      </c>
    </row>
    <row r="1095" spans="1:9" x14ac:dyDescent="0.3">
      <c r="A1095" s="2" t="str">
        <f t="shared" si="240"/>
        <v>20250624</v>
      </c>
      <c r="B1095" s="2" t="str">
        <f>"19125180"</f>
        <v>19125180</v>
      </c>
      <c r="C1095" s="2" t="str">
        <f>"최효건"</f>
        <v>최효건</v>
      </c>
      <c r="D1095" s="2" t="str">
        <f>"M"</f>
        <v>M</v>
      </c>
      <c r="E1095" s="2" t="str">
        <f>"19780418"</f>
        <v>19780418</v>
      </c>
      <c r="F1095" s="2" t="str">
        <f>"47"</f>
        <v>47</v>
      </c>
      <c r="G1095" s="2" t="str">
        <f t="shared" si="238"/>
        <v>E78660</v>
      </c>
      <c r="H1095" s="2" t="str">
        <f t="shared" si="239"/>
        <v>가톨릭대학교 서울성모병원</v>
      </c>
      <c r="I1095" s="2" t="str">
        <f t="shared" si="241"/>
        <v>특수</v>
      </c>
    </row>
    <row r="1096" spans="1:9" x14ac:dyDescent="0.3">
      <c r="A1096" s="2" t="str">
        <f t="shared" si="240"/>
        <v>20250624</v>
      </c>
      <c r="B1096" s="2" t="str">
        <f>"26865264"</f>
        <v>26865264</v>
      </c>
      <c r="C1096" s="2" t="str">
        <f>"오세준"</f>
        <v>오세준</v>
      </c>
      <c r="D1096" s="2" t="str">
        <f>"M"</f>
        <v>M</v>
      </c>
      <c r="E1096" s="2" t="str">
        <f>"19840625"</f>
        <v>19840625</v>
      </c>
      <c r="F1096" s="2" t="str">
        <f>"41"</f>
        <v>41</v>
      </c>
      <c r="G1096" s="2" t="str">
        <f t="shared" si="238"/>
        <v>E78660</v>
      </c>
      <c r="H1096" s="2" t="str">
        <f t="shared" si="239"/>
        <v>가톨릭대학교 서울성모병원</v>
      </c>
      <c r="I1096" s="2" t="str">
        <f t="shared" si="241"/>
        <v>특수</v>
      </c>
    </row>
    <row r="1097" spans="1:9" x14ac:dyDescent="0.3">
      <c r="A1097" s="2" t="str">
        <f t="shared" si="240"/>
        <v>20250624</v>
      </c>
      <c r="B1097" s="2" t="str">
        <f>"34714531"</f>
        <v>34714531</v>
      </c>
      <c r="C1097" s="2" t="str">
        <f>"홍상희"</f>
        <v>홍상희</v>
      </c>
      <c r="D1097" s="2" t="str">
        <f>"F"</f>
        <v>F</v>
      </c>
      <c r="E1097" s="2" t="str">
        <f>"19930110"</f>
        <v>19930110</v>
      </c>
      <c r="F1097" s="2" t="str">
        <f>"32"</f>
        <v>32</v>
      </c>
      <c r="G1097" s="2" t="str">
        <f t="shared" si="238"/>
        <v>E78660</v>
      </c>
      <c r="H1097" s="2" t="str">
        <f t="shared" si="239"/>
        <v>가톨릭대학교 서울성모병원</v>
      </c>
      <c r="I1097" s="2" t="str">
        <f t="shared" si="241"/>
        <v>특수</v>
      </c>
    </row>
    <row r="1098" spans="1:9" x14ac:dyDescent="0.3">
      <c r="A1098" s="2" t="str">
        <f t="shared" si="240"/>
        <v>20250624</v>
      </c>
      <c r="B1098" s="2" t="str">
        <f>"35624024"</f>
        <v>35624024</v>
      </c>
      <c r="C1098" s="2" t="str">
        <f>"정지훈"</f>
        <v>정지훈</v>
      </c>
      <c r="D1098" s="2" t="str">
        <f>"M"</f>
        <v>M</v>
      </c>
      <c r="E1098" s="2" t="str">
        <f>"19920305"</f>
        <v>19920305</v>
      </c>
      <c r="F1098" s="2" t="str">
        <f>"33"</f>
        <v>33</v>
      </c>
      <c r="G1098" s="2" t="str">
        <f t="shared" si="238"/>
        <v>E78660</v>
      </c>
      <c r="H1098" s="2" t="str">
        <f t="shared" si="239"/>
        <v>가톨릭대학교 서울성모병원</v>
      </c>
      <c r="I1098" s="2" t="str">
        <f t="shared" si="241"/>
        <v>특수</v>
      </c>
    </row>
    <row r="1099" spans="1:9" x14ac:dyDescent="0.3">
      <c r="A1099" s="2" t="str">
        <f t="shared" si="240"/>
        <v>20250624</v>
      </c>
      <c r="B1099" s="2" t="str">
        <f>"35740262"</f>
        <v>35740262</v>
      </c>
      <c r="C1099" s="2" t="str">
        <f>"이창현"</f>
        <v>이창현</v>
      </c>
      <c r="D1099" s="2" t="str">
        <f>"F"</f>
        <v>F</v>
      </c>
      <c r="E1099" s="2" t="str">
        <f>"19951118"</f>
        <v>19951118</v>
      </c>
      <c r="F1099" s="2" t="str">
        <f>"29"</f>
        <v>29</v>
      </c>
      <c r="G1099" s="2" t="str">
        <f t="shared" si="238"/>
        <v>E78660</v>
      </c>
      <c r="H1099" s="2" t="str">
        <f t="shared" si="239"/>
        <v>가톨릭대학교 서울성모병원</v>
      </c>
      <c r="I1099" s="2" t="str">
        <f t="shared" si="241"/>
        <v>특수</v>
      </c>
    </row>
    <row r="1100" spans="1:9" x14ac:dyDescent="0.3">
      <c r="A1100" s="2" t="str">
        <f t="shared" si="240"/>
        <v>20250624</v>
      </c>
      <c r="B1100" s="2" t="str">
        <f>"39598776"</f>
        <v>39598776</v>
      </c>
      <c r="C1100" s="2" t="str">
        <f>"문지훈"</f>
        <v>문지훈</v>
      </c>
      <c r="D1100" s="2" t="str">
        <f>"M"</f>
        <v>M</v>
      </c>
      <c r="E1100" s="2" t="str">
        <f>"19951012"</f>
        <v>19951012</v>
      </c>
      <c r="F1100" s="2" t="str">
        <f>"29"</f>
        <v>29</v>
      </c>
      <c r="G1100" s="2" t="str">
        <f t="shared" si="238"/>
        <v>E78660</v>
      </c>
      <c r="H1100" s="2" t="str">
        <f t="shared" si="239"/>
        <v>가톨릭대학교 서울성모병원</v>
      </c>
      <c r="I1100" s="2" t="str">
        <f t="shared" si="241"/>
        <v>특수</v>
      </c>
    </row>
    <row r="1101" spans="1:9" x14ac:dyDescent="0.3">
      <c r="A1101" s="2" t="str">
        <f t="shared" si="240"/>
        <v>20250624</v>
      </c>
      <c r="B1101" s="2" t="str">
        <f>"39677056"</f>
        <v>39677056</v>
      </c>
      <c r="C1101" s="2" t="str">
        <f>"이주현"</f>
        <v>이주현</v>
      </c>
      <c r="D1101" s="2" t="str">
        <f t="shared" ref="D1101:D1106" si="242">"F"</f>
        <v>F</v>
      </c>
      <c r="E1101" s="2" t="str">
        <f>"19970920"</f>
        <v>19970920</v>
      </c>
      <c r="F1101" s="2" t="str">
        <f>"27"</f>
        <v>27</v>
      </c>
      <c r="G1101" s="2" t="str">
        <f t="shared" si="238"/>
        <v>E78660</v>
      </c>
      <c r="H1101" s="2" t="str">
        <f t="shared" si="239"/>
        <v>가톨릭대학교 서울성모병원</v>
      </c>
      <c r="I1101" s="2" t="str">
        <f t="shared" si="241"/>
        <v>특수</v>
      </c>
    </row>
    <row r="1102" spans="1:9" x14ac:dyDescent="0.3">
      <c r="A1102" s="2" t="str">
        <f>"20250626"</f>
        <v>20250626</v>
      </c>
      <c r="B1102" s="2" t="str">
        <f>"35734033"</f>
        <v>35734033</v>
      </c>
      <c r="C1102" s="2" t="str">
        <f>"류선미"</f>
        <v>류선미</v>
      </c>
      <c r="D1102" s="2" t="str">
        <f t="shared" si="242"/>
        <v>F</v>
      </c>
      <c r="E1102" s="2" t="str">
        <f>"20020206"</f>
        <v>20020206</v>
      </c>
      <c r="F1102" s="2" t="str">
        <f>"23"</f>
        <v>23</v>
      </c>
      <c r="G1102" s="2" t="str">
        <f t="shared" si="238"/>
        <v>E78660</v>
      </c>
      <c r="H1102" s="2" t="str">
        <f t="shared" si="239"/>
        <v>가톨릭대학교 서울성모병원</v>
      </c>
      <c r="I1102" s="2" t="str">
        <f>"배치전"</f>
        <v>배치전</v>
      </c>
    </row>
    <row r="1103" spans="1:9" x14ac:dyDescent="0.3">
      <c r="A1103" s="2" t="str">
        <f>"20250626"</f>
        <v>20250626</v>
      </c>
      <c r="B1103" s="2" t="str">
        <f>"40499171"</f>
        <v>40499171</v>
      </c>
      <c r="C1103" s="2" t="str">
        <f>"최현영"</f>
        <v>최현영</v>
      </c>
      <c r="D1103" s="2" t="str">
        <f t="shared" si="242"/>
        <v>F</v>
      </c>
      <c r="E1103" s="2" t="str">
        <f>"20010621"</f>
        <v>20010621</v>
      </c>
      <c r="F1103" s="2" t="str">
        <f>"24"</f>
        <v>24</v>
      </c>
      <c r="G1103" s="2" t="str">
        <f t="shared" si="238"/>
        <v>E78660</v>
      </c>
      <c r="H1103" s="2" t="str">
        <f t="shared" si="239"/>
        <v>가톨릭대학교 서울성모병원</v>
      </c>
      <c r="I1103" s="2" t="str">
        <f>"배치후"</f>
        <v>배치후</v>
      </c>
    </row>
    <row r="1104" spans="1:9" x14ac:dyDescent="0.3">
      <c r="A1104" s="2" t="str">
        <f>"20250626"</f>
        <v>20250626</v>
      </c>
      <c r="B1104" s="2" t="str">
        <f>"8416199"</f>
        <v>8416199</v>
      </c>
      <c r="C1104" s="2" t="str">
        <f>"김희정"</f>
        <v>김희정</v>
      </c>
      <c r="D1104" s="2" t="str">
        <f t="shared" si="242"/>
        <v>F</v>
      </c>
      <c r="E1104" s="2" t="str">
        <f>"19710428"</f>
        <v>19710428</v>
      </c>
      <c r="F1104" s="2" t="str">
        <f>"54"</f>
        <v>54</v>
      </c>
      <c r="G1104" s="2" t="str">
        <f t="shared" si="238"/>
        <v>E78660</v>
      </c>
      <c r="H1104" s="2" t="str">
        <f t="shared" si="239"/>
        <v>가톨릭대학교 서울성모병원</v>
      </c>
      <c r="I1104" s="2" t="str">
        <f>"배치전"</f>
        <v>배치전</v>
      </c>
    </row>
    <row r="1105" spans="1:9" x14ac:dyDescent="0.3">
      <c r="A1105" s="2" t="str">
        <f t="shared" ref="A1105:A1114" si="243">"20250630"</f>
        <v>20250630</v>
      </c>
      <c r="B1105" s="2" t="str">
        <f>"11062816"</f>
        <v>11062816</v>
      </c>
      <c r="C1105" s="2" t="str">
        <f>"김현정"</f>
        <v>김현정</v>
      </c>
      <c r="D1105" s="2" t="str">
        <f t="shared" si="242"/>
        <v>F</v>
      </c>
      <c r="E1105" s="2" t="str">
        <f>"19781209"</f>
        <v>19781209</v>
      </c>
      <c r="F1105" s="2" t="str">
        <f>"46"</f>
        <v>46</v>
      </c>
      <c r="G1105" s="2" t="str">
        <f t="shared" si="238"/>
        <v>E78660</v>
      </c>
      <c r="H1105" s="2" t="str">
        <f t="shared" si="239"/>
        <v>가톨릭대학교 서울성모병원</v>
      </c>
      <c r="I1105" s="2" t="str">
        <f>"특수"</f>
        <v>특수</v>
      </c>
    </row>
    <row r="1106" spans="1:9" x14ac:dyDescent="0.3">
      <c r="A1106" s="2" t="str">
        <f t="shared" si="243"/>
        <v>20250630</v>
      </c>
      <c r="B1106" s="2" t="str">
        <f>"23676494"</f>
        <v>23676494</v>
      </c>
      <c r="C1106" s="2" t="str">
        <f>"민보람"</f>
        <v>민보람</v>
      </c>
      <c r="D1106" s="2" t="str">
        <f t="shared" si="242"/>
        <v>F</v>
      </c>
      <c r="E1106" s="2" t="str">
        <f>"19871203"</f>
        <v>19871203</v>
      </c>
      <c r="F1106" s="2" t="str">
        <f>"37"</f>
        <v>37</v>
      </c>
      <c r="G1106" s="2" t="str">
        <f t="shared" si="238"/>
        <v>E78660</v>
      </c>
      <c r="H1106" s="2" t="str">
        <f t="shared" si="239"/>
        <v>가톨릭대학교 서울성모병원</v>
      </c>
      <c r="I1106" s="2" t="str">
        <f>"특수"</f>
        <v>특수</v>
      </c>
    </row>
    <row r="1107" spans="1:9" x14ac:dyDescent="0.3">
      <c r="A1107" s="2" t="str">
        <f t="shared" si="243"/>
        <v>20250630</v>
      </c>
      <c r="B1107" s="2" t="str">
        <f>"32714812"</f>
        <v>32714812</v>
      </c>
      <c r="C1107" s="2" t="str">
        <f>"이태현"</f>
        <v>이태현</v>
      </c>
      <c r="D1107" s="2" t="str">
        <f>"M"</f>
        <v>M</v>
      </c>
      <c r="E1107" s="2" t="str">
        <f>"19911113"</f>
        <v>19911113</v>
      </c>
      <c r="F1107" s="2" t="str">
        <f>"33"</f>
        <v>33</v>
      </c>
      <c r="G1107" s="2" t="str">
        <f t="shared" si="238"/>
        <v>E78660</v>
      </c>
      <c r="H1107" s="2" t="str">
        <f t="shared" si="239"/>
        <v>가톨릭대학교 서울성모병원</v>
      </c>
      <c r="I1107" s="2" t="str">
        <f>"배치후"</f>
        <v>배치후</v>
      </c>
    </row>
    <row r="1108" spans="1:9" x14ac:dyDescent="0.3">
      <c r="A1108" s="2" t="str">
        <f t="shared" si="243"/>
        <v>20250630</v>
      </c>
      <c r="B1108" s="2" t="str">
        <f>"35383992"</f>
        <v>35383992</v>
      </c>
      <c r="C1108" s="2" t="str">
        <f>"김대웅"</f>
        <v>김대웅</v>
      </c>
      <c r="D1108" s="2" t="str">
        <f>"M"</f>
        <v>M</v>
      </c>
      <c r="E1108" s="2" t="str">
        <f>"19940605"</f>
        <v>19940605</v>
      </c>
      <c r="F1108" s="2" t="str">
        <f>"31"</f>
        <v>31</v>
      </c>
      <c r="G1108" s="2" t="str">
        <f t="shared" si="238"/>
        <v>E78660</v>
      </c>
      <c r="H1108" s="2" t="str">
        <f t="shared" si="239"/>
        <v>가톨릭대학교 서울성모병원</v>
      </c>
      <c r="I1108" s="2" t="str">
        <f>"특수"</f>
        <v>특수</v>
      </c>
    </row>
    <row r="1109" spans="1:9" x14ac:dyDescent="0.3">
      <c r="A1109" s="2" t="str">
        <f t="shared" si="243"/>
        <v>20250630</v>
      </c>
      <c r="B1109" s="2" t="str">
        <f>"36935631"</f>
        <v>36935631</v>
      </c>
      <c r="C1109" s="2" t="str">
        <f>"김소영"</f>
        <v>김소영</v>
      </c>
      <c r="D1109" s="2" t="str">
        <f>"F"</f>
        <v>F</v>
      </c>
      <c r="E1109" s="2" t="str">
        <f>"19990108"</f>
        <v>19990108</v>
      </c>
      <c r="F1109" s="2" t="str">
        <f>"26"</f>
        <v>26</v>
      </c>
      <c r="G1109" s="2" t="str">
        <f t="shared" si="238"/>
        <v>E78660</v>
      </c>
      <c r="H1109" s="2" t="str">
        <f t="shared" si="239"/>
        <v>가톨릭대학교 서울성모병원</v>
      </c>
      <c r="I1109" s="2" t="str">
        <f>"특수"</f>
        <v>특수</v>
      </c>
    </row>
    <row r="1110" spans="1:9" x14ac:dyDescent="0.3">
      <c r="A1110" s="2" t="str">
        <f t="shared" si="243"/>
        <v>20250630</v>
      </c>
      <c r="B1110" s="2" t="str">
        <f>"37056104"</f>
        <v>37056104</v>
      </c>
      <c r="C1110" s="2" t="str">
        <f>"조성아"</f>
        <v>조성아</v>
      </c>
      <c r="D1110" s="2" t="str">
        <f>"F"</f>
        <v>F</v>
      </c>
      <c r="E1110" s="2" t="str">
        <f>"19941202"</f>
        <v>19941202</v>
      </c>
      <c r="F1110" s="2" t="str">
        <f>"30"</f>
        <v>30</v>
      </c>
      <c r="G1110" s="2" t="str">
        <f t="shared" si="238"/>
        <v>E78660</v>
      </c>
      <c r="H1110" s="2" t="str">
        <f t="shared" si="239"/>
        <v>가톨릭대학교 서울성모병원</v>
      </c>
      <c r="I1110" s="2" t="str">
        <f>"특수"</f>
        <v>특수</v>
      </c>
    </row>
    <row r="1111" spans="1:9" x14ac:dyDescent="0.3">
      <c r="A1111" s="2" t="str">
        <f t="shared" si="243"/>
        <v>20250630</v>
      </c>
      <c r="B1111" s="2" t="str">
        <f>"39231500"</f>
        <v>39231500</v>
      </c>
      <c r="C1111" s="2" t="str">
        <f>"최대혁"</f>
        <v>최대혁</v>
      </c>
      <c r="D1111" s="2" t="str">
        <f>"M"</f>
        <v>M</v>
      </c>
      <c r="E1111" s="2" t="str">
        <f>"19980309"</f>
        <v>19980309</v>
      </c>
      <c r="F1111" s="2" t="str">
        <f>"27"</f>
        <v>27</v>
      </c>
      <c r="G1111" s="2" t="str">
        <f t="shared" si="238"/>
        <v>E78660</v>
      </c>
      <c r="H1111" s="2" t="str">
        <f t="shared" si="239"/>
        <v>가톨릭대학교 서울성모병원</v>
      </c>
      <c r="I1111" s="2" t="str">
        <f>"특수"</f>
        <v>특수</v>
      </c>
    </row>
    <row r="1112" spans="1:9" x14ac:dyDescent="0.3">
      <c r="A1112" s="2" t="str">
        <f t="shared" si="243"/>
        <v>20250630</v>
      </c>
      <c r="B1112" s="2" t="str">
        <f>"40316790"</f>
        <v>40316790</v>
      </c>
      <c r="C1112" s="2" t="str">
        <f>"조성윤"</f>
        <v>조성윤</v>
      </c>
      <c r="D1112" s="2" t="str">
        <f>"M"</f>
        <v>M</v>
      </c>
      <c r="E1112" s="2" t="str">
        <f>"20010703"</f>
        <v>20010703</v>
      </c>
      <c r="F1112" s="2" t="str">
        <f>"24"</f>
        <v>24</v>
      </c>
      <c r="G1112" s="2" t="str">
        <f t="shared" si="238"/>
        <v>E78660</v>
      </c>
      <c r="H1112" s="2" t="str">
        <f t="shared" si="239"/>
        <v>가톨릭대학교 서울성모병원</v>
      </c>
      <c r="I1112" s="2" t="str">
        <f>"배치후"</f>
        <v>배치후</v>
      </c>
    </row>
    <row r="1113" spans="1:9" x14ac:dyDescent="0.3">
      <c r="A1113" s="2" t="str">
        <f t="shared" si="243"/>
        <v>20250630</v>
      </c>
      <c r="B1113" s="2" t="str">
        <f>"40519336"</f>
        <v>40519336</v>
      </c>
      <c r="C1113" s="2" t="str">
        <f>"김동현"</f>
        <v>김동현</v>
      </c>
      <c r="D1113" s="2" t="str">
        <f>"M"</f>
        <v>M</v>
      </c>
      <c r="E1113" s="2" t="str">
        <f>"19951105"</f>
        <v>19951105</v>
      </c>
      <c r="F1113" s="2" t="str">
        <f>"29"</f>
        <v>29</v>
      </c>
      <c r="G1113" s="2" t="str">
        <f t="shared" si="238"/>
        <v>E78660</v>
      </c>
      <c r="H1113" s="2" t="str">
        <f t="shared" si="239"/>
        <v>가톨릭대학교 서울성모병원</v>
      </c>
      <c r="I1113" s="2" t="str">
        <f>"배치후"</f>
        <v>배치후</v>
      </c>
    </row>
    <row r="1114" spans="1:9" x14ac:dyDescent="0.3">
      <c r="A1114" s="2" t="str">
        <f t="shared" si="243"/>
        <v>20250630</v>
      </c>
      <c r="B1114" s="2" t="str">
        <f>"40754372"</f>
        <v>40754372</v>
      </c>
      <c r="C1114" s="2" t="str">
        <f>"남인희"</f>
        <v>남인희</v>
      </c>
      <c r="D1114" s="2" t="str">
        <f t="shared" ref="D1114:D1123" si="244">"F"</f>
        <v>F</v>
      </c>
      <c r="E1114" s="2" t="str">
        <f>"19981201"</f>
        <v>19981201</v>
      </c>
      <c r="F1114" s="2" t="str">
        <f>"26"</f>
        <v>26</v>
      </c>
      <c r="G1114" s="2" t="str">
        <f t="shared" si="238"/>
        <v>E78660</v>
      </c>
      <c r="H1114" s="2" t="str">
        <f t="shared" si="239"/>
        <v>가톨릭대학교 서울성모병원</v>
      </c>
      <c r="I1114" s="2" t="str">
        <f>"배치전"</f>
        <v>배치전</v>
      </c>
    </row>
    <row r="1115" spans="1:9" x14ac:dyDescent="0.3">
      <c r="A1115" s="2" t="str">
        <f>"20250701"</f>
        <v>20250701</v>
      </c>
      <c r="B1115" s="2" t="str">
        <f>"31644353"</f>
        <v>31644353</v>
      </c>
      <c r="C1115" s="2" t="str">
        <f>"장수정"</f>
        <v>장수정</v>
      </c>
      <c r="D1115" s="2" t="str">
        <f t="shared" si="244"/>
        <v>F</v>
      </c>
      <c r="E1115" s="2" t="str">
        <f>"19941024"</f>
        <v>19941024</v>
      </c>
      <c r="F1115" s="2" t="str">
        <f>"30"</f>
        <v>30</v>
      </c>
      <c r="G1115" s="2" t="str">
        <f t="shared" si="238"/>
        <v>E78660</v>
      </c>
      <c r="H1115" s="2" t="str">
        <f t="shared" si="239"/>
        <v>가톨릭대학교 서울성모병원</v>
      </c>
      <c r="I1115" s="2" t="str">
        <f>"특수"</f>
        <v>특수</v>
      </c>
    </row>
    <row r="1116" spans="1:9" x14ac:dyDescent="0.3">
      <c r="A1116" s="2" t="str">
        <f>"20250701"</f>
        <v>20250701</v>
      </c>
      <c r="B1116" s="2" t="str">
        <f>"35142251"</f>
        <v>35142251</v>
      </c>
      <c r="C1116" s="2" t="str">
        <f>"박정연"</f>
        <v>박정연</v>
      </c>
      <c r="D1116" s="2" t="str">
        <f t="shared" si="244"/>
        <v>F</v>
      </c>
      <c r="E1116" s="2" t="str">
        <f>"20000606"</f>
        <v>20000606</v>
      </c>
      <c r="F1116" s="2" t="str">
        <f>"25"</f>
        <v>25</v>
      </c>
      <c r="G1116" s="2" t="str">
        <f t="shared" si="238"/>
        <v>E78660</v>
      </c>
      <c r="H1116" s="2" t="str">
        <f t="shared" si="239"/>
        <v>가톨릭대학교 서울성모병원</v>
      </c>
      <c r="I1116" s="2" t="str">
        <f>"배치후"</f>
        <v>배치후</v>
      </c>
    </row>
    <row r="1117" spans="1:9" x14ac:dyDescent="0.3">
      <c r="A1117" s="2" t="str">
        <f>"20250701"</f>
        <v>20250701</v>
      </c>
      <c r="B1117" s="2" t="str">
        <f>"40468424"</f>
        <v>40468424</v>
      </c>
      <c r="C1117" s="2" t="str">
        <f>"박지오"</f>
        <v>박지오</v>
      </c>
      <c r="D1117" s="2" t="str">
        <f t="shared" si="244"/>
        <v>F</v>
      </c>
      <c r="E1117" s="2" t="str">
        <f>"19720113"</f>
        <v>19720113</v>
      </c>
      <c r="F1117" s="2" t="str">
        <f>"53"</f>
        <v>53</v>
      </c>
      <c r="G1117" s="2" t="str">
        <f t="shared" si="238"/>
        <v>E78660</v>
      </c>
      <c r="H1117" s="2" t="str">
        <f t="shared" si="239"/>
        <v>가톨릭대학교 서울성모병원</v>
      </c>
      <c r="I1117" s="2" t="str">
        <f>"배치후"</f>
        <v>배치후</v>
      </c>
    </row>
    <row r="1118" spans="1:9" x14ac:dyDescent="0.3">
      <c r="A1118" s="2" t="str">
        <f>"20250701"</f>
        <v>20250701</v>
      </c>
      <c r="B1118" s="2" t="str">
        <f>"40599936"</f>
        <v>40599936</v>
      </c>
      <c r="C1118" s="2" t="str">
        <f>"김선주"</f>
        <v>김선주</v>
      </c>
      <c r="D1118" s="2" t="str">
        <f t="shared" si="244"/>
        <v>F</v>
      </c>
      <c r="E1118" s="2" t="str">
        <f>"19951031"</f>
        <v>19951031</v>
      </c>
      <c r="F1118" s="2" t="str">
        <f>"29"</f>
        <v>29</v>
      </c>
      <c r="G1118" s="2" t="str">
        <f t="shared" si="238"/>
        <v>E78660</v>
      </c>
      <c r="H1118" s="2" t="str">
        <f t="shared" si="239"/>
        <v>가톨릭대학교 서울성모병원</v>
      </c>
      <c r="I1118" s="2" t="str">
        <f>"배치후"</f>
        <v>배치후</v>
      </c>
    </row>
    <row r="1119" spans="1:9" x14ac:dyDescent="0.3">
      <c r="A1119" s="2" t="str">
        <f t="shared" ref="A1119:A1124" si="245">"20250703"</f>
        <v>20250703</v>
      </c>
      <c r="B1119" s="2" t="str">
        <f>"22411871"</f>
        <v>22411871</v>
      </c>
      <c r="C1119" s="2" t="str">
        <f>"윤현선"</f>
        <v>윤현선</v>
      </c>
      <c r="D1119" s="2" t="str">
        <f t="shared" si="244"/>
        <v>F</v>
      </c>
      <c r="E1119" s="2" t="str">
        <f>"19820519"</f>
        <v>19820519</v>
      </c>
      <c r="F1119" s="2" t="str">
        <f>"43"</f>
        <v>43</v>
      </c>
      <c r="G1119" s="2" t="str">
        <f t="shared" si="238"/>
        <v>E78660</v>
      </c>
      <c r="H1119" s="2" t="str">
        <f t="shared" si="239"/>
        <v>가톨릭대학교 서울성모병원</v>
      </c>
      <c r="I1119" s="2" t="str">
        <f>"특수"</f>
        <v>특수</v>
      </c>
    </row>
    <row r="1120" spans="1:9" x14ac:dyDescent="0.3">
      <c r="A1120" s="2" t="str">
        <f t="shared" si="245"/>
        <v>20250703</v>
      </c>
      <c r="B1120" s="2" t="str">
        <f>"25053022"</f>
        <v>25053022</v>
      </c>
      <c r="C1120" s="2" t="str">
        <f>"김지윤"</f>
        <v>김지윤</v>
      </c>
      <c r="D1120" s="2" t="str">
        <f t="shared" si="244"/>
        <v>F</v>
      </c>
      <c r="E1120" s="2" t="str">
        <f>"19900131"</f>
        <v>19900131</v>
      </c>
      <c r="F1120" s="2" t="str">
        <f>"35"</f>
        <v>35</v>
      </c>
      <c r="G1120" s="2" t="str">
        <f t="shared" si="238"/>
        <v>E78660</v>
      </c>
      <c r="H1120" s="2" t="str">
        <f t="shared" si="239"/>
        <v>가톨릭대학교 서울성모병원</v>
      </c>
      <c r="I1120" s="2" t="str">
        <f>"특수"</f>
        <v>특수</v>
      </c>
    </row>
    <row r="1121" spans="1:9" x14ac:dyDescent="0.3">
      <c r="A1121" s="2" t="str">
        <f t="shared" si="245"/>
        <v>20250703</v>
      </c>
      <c r="B1121" s="2" t="str">
        <f>"27949814"</f>
        <v>27949814</v>
      </c>
      <c r="C1121" s="2" t="str">
        <f>"황지수"</f>
        <v>황지수</v>
      </c>
      <c r="D1121" s="2" t="str">
        <f t="shared" si="244"/>
        <v>F</v>
      </c>
      <c r="E1121" s="2" t="str">
        <f>"19911104"</f>
        <v>19911104</v>
      </c>
      <c r="F1121" s="2" t="str">
        <f>"33"</f>
        <v>33</v>
      </c>
      <c r="G1121" s="2" t="str">
        <f t="shared" si="238"/>
        <v>E78660</v>
      </c>
      <c r="H1121" s="2" t="str">
        <f t="shared" si="239"/>
        <v>가톨릭대학교 서울성모병원</v>
      </c>
      <c r="I1121" s="2" t="str">
        <f>"배치후"</f>
        <v>배치후</v>
      </c>
    </row>
    <row r="1122" spans="1:9" x14ac:dyDescent="0.3">
      <c r="A1122" s="2" t="str">
        <f t="shared" si="245"/>
        <v>20250703</v>
      </c>
      <c r="B1122" s="2" t="str">
        <f>"31294175"</f>
        <v>31294175</v>
      </c>
      <c r="C1122" s="2" t="str">
        <f>"김소영"</f>
        <v>김소영</v>
      </c>
      <c r="D1122" s="2" t="str">
        <f t="shared" si="244"/>
        <v>F</v>
      </c>
      <c r="E1122" s="2" t="str">
        <f>"19941006"</f>
        <v>19941006</v>
      </c>
      <c r="F1122" s="2" t="str">
        <f>"30"</f>
        <v>30</v>
      </c>
      <c r="G1122" s="2" t="str">
        <f t="shared" si="238"/>
        <v>E78660</v>
      </c>
      <c r="H1122" s="2" t="str">
        <f t="shared" si="239"/>
        <v>가톨릭대학교 서울성모병원</v>
      </c>
      <c r="I1122" s="2" t="str">
        <f>"배치후"</f>
        <v>배치후</v>
      </c>
    </row>
    <row r="1123" spans="1:9" x14ac:dyDescent="0.3">
      <c r="A1123" s="2" t="str">
        <f t="shared" si="245"/>
        <v>20250703</v>
      </c>
      <c r="B1123" s="2" t="str">
        <f>"33448673"</f>
        <v>33448673</v>
      </c>
      <c r="C1123" s="2" t="str">
        <f>"조은"</f>
        <v>조은</v>
      </c>
      <c r="D1123" s="2" t="str">
        <f t="shared" si="244"/>
        <v>F</v>
      </c>
      <c r="E1123" s="2" t="str">
        <f>"20000809"</f>
        <v>20000809</v>
      </c>
      <c r="F1123" s="2" t="str">
        <f>"24"</f>
        <v>24</v>
      </c>
      <c r="G1123" s="2" t="str">
        <f t="shared" si="238"/>
        <v>E78660</v>
      </c>
      <c r="H1123" s="2" t="str">
        <f t="shared" si="239"/>
        <v>가톨릭대학교 서울성모병원</v>
      </c>
      <c r="I1123" s="2" t="str">
        <f>"배치후"</f>
        <v>배치후</v>
      </c>
    </row>
    <row r="1124" spans="1:9" x14ac:dyDescent="0.3">
      <c r="A1124" s="2" t="str">
        <f t="shared" si="245"/>
        <v>20250703</v>
      </c>
      <c r="B1124" s="2" t="str">
        <f>"40581044"</f>
        <v>40581044</v>
      </c>
      <c r="C1124" s="2" t="str">
        <f>"이승현"</f>
        <v>이승현</v>
      </c>
      <c r="D1124" s="2" t="str">
        <f>"M"</f>
        <v>M</v>
      </c>
      <c r="E1124" s="2" t="str">
        <f>"20000113"</f>
        <v>20000113</v>
      </c>
      <c r="F1124" s="2" t="str">
        <f>"25"</f>
        <v>25</v>
      </c>
      <c r="G1124" s="2" t="str">
        <f t="shared" si="238"/>
        <v>E78660</v>
      </c>
      <c r="H1124" s="2" t="str">
        <f t="shared" si="239"/>
        <v>가톨릭대학교 서울성모병원</v>
      </c>
      <c r="I1124" s="2" t="str">
        <f>"배치후"</f>
        <v>배치후</v>
      </c>
    </row>
    <row r="1125" spans="1:9" x14ac:dyDescent="0.3">
      <c r="A1125" s="2" t="str">
        <f t="shared" ref="A1125:A1134" si="246">"20250707"</f>
        <v>20250707</v>
      </c>
      <c r="B1125" s="2" t="str">
        <f>"13395699"</f>
        <v>13395699</v>
      </c>
      <c r="C1125" s="2" t="str">
        <f>"방준모"</f>
        <v>방준모</v>
      </c>
      <c r="D1125" s="2" t="str">
        <f>"M"</f>
        <v>M</v>
      </c>
      <c r="E1125" s="2" t="str">
        <f>"20000614"</f>
        <v>20000614</v>
      </c>
      <c r="F1125" s="2" t="str">
        <f>"25"</f>
        <v>25</v>
      </c>
      <c r="G1125" s="2" t="str">
        <f t="shared" si="238"/>
        <v>E78660</v>
      </c>
      <c r="H1125" s="2" t="str">
        <f t="shared" si="239"/>
        <v>가톨릭대학교 서울성모병원</v>
      </c>
      <c r="I1125" s="2" t="str">
        <f>"배치후"</f>
        <v>배치후</v>
      </c>
    </row>
    <row r="1126" spans="1:9" x14ac:dyDescent="0.3">
      <c r="A1126" s="2" t="str">
        <f t="shared" si="246"/>
        <v>20250707</v>
      </c>
      <c r="B1126" s="2" t="str">
        <f>"1649760"</f>
        <v>1649760</v>
      </c>
      <c r="C1126" s="2" t="str">
        <f>"김현정"</f>
        <v>김현정</v>
      </c>
      <c r="D1126" s="2" t="str">
        <f>"F"</f>
        <v>F</v>
      </c>
      <c r="E1126" s="2" t="str">
        <f>"19760529"</f>
        <v>19760529</v>
      </c>
      <c r="F1126" s="2" t="str">
        <f>"49"</f>
        <v>49</v>
      </c>
      <c r="G1126" s="2" t="str">
        <f t="shared" si="238"/>
        <v>E78660</v>
      </c>
      <c r="H1126" s="2" t="str">
        <f t="shared" si="239"/>
        <v>가톨릭대학교 서울성모병원</v>
      </c>
      <c r="I1126" s="2" t="str">
        <f t="shared" ref="I1126:I1160" si="247">"특수"</f>
        <v>특수</v>
      </c>
    </row>
    <row r="1127" spans="1:9" x14ac:dyDescent="0.3">
      <c r="A1127" s="2" t="str">
        <f t="shared" si="246"/>
        <v>20250707</v>
      </c>
      <c r="B1127" s="2" t="str">
        <f>"26277404"</f>
        <v>26277404</v>
      </c>
      <c r="C1127" s="2" t="str">
        <f>"안성연"</f>
        <v>안성연</v>
      </c>
      <c r="D1127" s="2" t="str">
        <f>"F"</f>
        <v>F</v>
      </c>
      <c r="E1127" s="2" t="str">
        <f>"19940824"</f>
        <v>19940824</v>
      </c>
      <c r="F1127" s="2" t="str">
        <f>"30"</f>
        <v>30</v>
      </c>
      <c r="G1127" s="2" t="str">
        <f t="shared" si="238"/>
        <v>E78660</v>
      </c>
      <c r="H1127" s="2" t="str">
        <f t="shared" si="239"/>
        <v>가톨릭대학교 서울성모병원</v>
      </c>
      <c r="I1127" s="2" t="str">
        <f t="shared" si="247"/>
        <v>특수</v>
      </c>
    </row>
    <row r="1128" spans="1:9" x14ac:dyDescent="0.3">
      <c r="A1128" s="2" t="str">
        <f t="shared" si="246"/>
        <v>20250707</v>
      </c>
      <c r="B1128" s="2" t="str">
        <f>"29642564"</f>
        <v>29642564</v>
      </c>
      <c r="C1128" s="2" t="str">
        <f>"이용빈"</f>
        <v>이용빈</v>
      </c>
      <c r="D1128" s="2" t="str">
        <f>"M"</f>
        <v>M</v>
      </c>
      <c r="E1128" s="2" t="str">
        <f>"19970827"</f>
        <v>19970827</v>
      </c>
      <c r="F1128" s="2" t="str">
        <f>"27"</f>
        <v>27</v>
      </c>
      <c r="G1128" s="2" t="str">
        <f t="shared" si="238"/>
        <v>E78660</v>
      </c>
      <c r="H1128" s="2" t="str">
        <f t="shared" si="239"/>
        <v>가톨릭대학교 서울성모병원</v>
      </c>
      <c r="I1128" s="2" t="str">
        <f t="shared" si="247"/>
        <v>특수</v>
      </c>
    </row>
    <row r="1129" spans="1:9" x14ac:dyDescent="0.3">
      <c r="A1129" s="2" t="str">
        <f t="shared" si="246"/>
        <v>20250707</v>
      </c>
      <c r="B1129" s="2" t="str">
        <f>"31545301"</f>
        <v>31545301</v>
      </c>
      <c r="C1129" s="2" t="str">
        <f>"박이슬"</f>
        <v>박이슬</v>
      </c>
      <c r="D1129" s="2" t="str">
        <f>"F"</f>
        <v>F</v>
      </c>
      <c r="E1129" s="2" t="str">
        <f>"19940330"</f>
        <v>19940330</v>
      </c>
      <c r="F1129" s="2" t="str">
        <f>"31"</f>
        <v>31</v>
      </c>
      <c r="G1129" s="2" t="str">
        <f t="shared" si="238"/>
        <v>E78660</v>
      </c>
      <c r="H1129" s="2" t="str">
        <f t="shared" si="239"/>
        <v>가톨릭대학교 서울성모병원</v>
      </c>
      <c r="I1129" s="2" t="str">
        <f t="shared" si="247"/>
        <v>특수</v>
      </c>
    </row>
    <row r="1130" spans="1:9" x14ac:dyDescent="0.3">
      <c r="A1130" s="2" t="str">
        <f t="shared" si="246"/>
        <v>20250707</v>
      </c>
      <c r="B1130" s="2" t="str">
        <f>"32159166"</f>
        <v>32159166</v>
      </c>
      <c r="C1130" s="2" t="str">
        <f>"이다은"</f>
        <v>이다은</v>
      </c>
      <c r="D1130" s="2" t="str">
        <f>"F"</f>
        <v>F</v>
      </c>
      <c r="E1130" s="2" t="str">
        <f>"19991030"</f>
        <v>19991030</v>
      </c>
      <c r="F1130" s="2" t="str">
        <f>"25"</f>
        <v>25</v>
      </c>
      <c r="G1130" s="2" t="str">
        <f t="shared" si="238"/>
        <v>E78660</v>
      </c>
      <c r="H1130" s="2" t="str">
        <f t="shared" si="239"/>
        <v>가톨릭대학교 서울성모병원</v>
      </c>
      <c r="I1130" s="2" t="str">
        <f t="shared" si="247"/>
        <v>특수</v>
      </c>
    </row>
    <row r="1131" spans="1:9" x14ac:dyDescent="0.3">
      <c r="A1131" s="2" t="str">
        <f t="shared" si="246"/>
        <v>20250707</v>
      </c>
      <c r="B1131" s="2" t="str">
        <f>"35480321"</f>
        <v>35480321</v>
      </c>
      <c r="C1131" s="2" t="str">
        <f>"권이슬"</f>
        <v>권이슬</v>
      </c>
      <c r="D1131" s="2" t="str">
        <f>"F"</f>
        <v>F</v>
      </c>
      <c r="E1131" s="2" t="str">
        <f>"19970307"</f>
        <v>19970307</v>
      </c>
      <c r="F1131" s="2" t="str">
        <f>"28"</f>
        <v>28</v>
      </c>
      <c r="G1131" s="2" t="str">
        <f t="shared" si="238"/>
        <v>E78660</v>
      </c>
      <c r="H1131" s="2" t="str">
        <f t="shared" si="239"/>
        <v>가톨릭대학교 서울성모병원</v>
      </c>
      <c r="I1131" s="2" t="str">
        <f t="shared" si="247"/>
        <v>특수</v>
      </c>
    </row>
    <row r="1132" spans="1:9" x14ac:dyDescent="0.3">
      <c r="A1132" s="2" t="str">
        <f t="shared" si="246"/>
        <v>20250707</v>
      </c>
      <c r="B1132" s="2" t="str">
        <f>"37056116"</f>
        <v>37056116</v>
      </c>
      <c r="C1132" s="2" t="str">
        <f>"유나현"</f>
        <v>유나현</v>
      </c>
      <c r="D1132" s="2" t="str">
        <f>"F"</f>
        <v>F</v>
      </c>
      <c r="E1132" s="2" t="str">
        <f>"19950309"</f>
        <v>19950309</v>
      </c>
      <c r="F1132" s="2" t="str">
        <f>"30"</f>
        <v>30</v>
      </c>
      <c r="G1132" s="2" t="str">
        <f t="shared" si="238"/>
        <v>E78660</v>
      </c>
      <c r="H1132" s="2" t="str">
        <f t="shared" si="239"/>
        <v>가톨릭대학교 서울성모병원</v>
      </c>
      <c r="I1132" s="2" t="str">
        <f t="shared" si="247"/>
        <v>특수</v>
      </c>
    </row>
    <row r="1133" spans="1:9" x14ac:dyDescent="0.3">
      <c r="A1133" s="2" t="str">
        <f t="shared" si="246"/>
        <v>20250707</v>
      </c>
      <c r="B1133" s="2" t="str">
        <f>"39672233"</f>
        <v>39672233</v>
      </c>
      <c r="C1133" s="2" t="str">
        <f>"임근재"</f>
        <v>임근재</v>
      </c>
      <c r="D1133" s="2" t="str">
        <f>"M"</f>
        <v>M</v>
      </c>
      <c r="E1133" s="2" t="str">
        <f>"19950205"</f>
        <v>19950205</v>
      </c>
      <c r="F1133" s="2" t="str">
        <f>"30"</f>
        <v>30</v>
      </c>
      <c r="G1133" s="2" t="str">
        <f t="shared" si="238"/>
        <v>E78660</v>
      </c>
      <c r="H1133" s="2" t="str">
        <f t="shared" si="239"/>
        <v>가톨릭대학교 서울성모병원</v>
      </c>
      <c r="I1133" s="2" t="str">
        <f t="shared" si="247"/>
        <v>특수</v>
      </c>
    </row>
    <row r="1134" spans="1:9" x14ac:dyDescent="0.3">
      <c r="A1134" s="2" t="str">
        <f t="shared" si="246"/>
        <v>20250707</v>
      </c>
      <c r="B1134" s="2" t="str">
        <f>"8963436"</f>
        <v>8963436</v>
      </c>
      <c r="C1134" s="2" t="str">
        <f>"조원형"</f>
        <v>조원형</v>
      </c>
      <c r="D1134" s="2" t="str">
        <f>"M"</f>
        <v>M</v>
      </c>
      <c r="E1134" s="2" t="str">
        <f>"19670115"</f>
        <v>19670115</v>
      </c>
      <c r="F1134" s="2" t="str">
        <f>"58"</f>
        <v>58</v>
      </c>
      <c r="G1134" s="2" t="str">
        <f t="shared" si="238"/>
        <v>E78660</v>
      </c>
      <c r="H1134" s="2" t="str">
        <f t="shared" si="239"/>
        <v>가톨릭대학교 서울성모병원</v>
      </c>
      <c r="I1134" s="2" t="str">
        <f t="shared" si="247"/>
        <v>특수</v>
      </c>
    </row>
    <row r="1135" spans="1:9" x14ac:dyDescent="0.3">
      <c r="A1135" s="2" t="str">
        <f t="shared" ref="A1135:A1141" si="248">"20250708"</f>
        <v>20250708</v>
      </c>
      <c r="B1135" s="2" t="str">
        <f>"21293960"</f>
        <v>21293960</v>
      </c>
      <c r="C1135" s="2" t="str">
        <f>"노혜리"</f>
        <v>노혜리</v>
      </c>
      <c r="D1135" s="2" t="str">
        <f>"F"</f>
        <v>F</v>
      </c>
      <c r="E1135" s="2" t="str">
        <f>"19860729"</f>
        <v>19860729</v>
      </c>
      <c r="F1135" s="2" t="str">
        <f>"38"</f>
        <v>38</v>
      </c>
      <c r="G1135" s="2" t="str">
        <f t="shared" si="238"/>
        <v>E78660</v>
      </c>
      <c r="H1135" s="2" t="str">
        <f t="shared" si="239"/>
        <v>가톨릭대학교 서울성모병원</v>
      </c>
      <c r="I1135" s="2" t="str">
        <f t="shared" si="247"/>
        <v>특수</v>
      </c>
    </row>
    <row r="1136" spans="1:9" x14ac:dyDescent="0.3">
      <c r="A1136" s="2" t="str">
        <f t="shared" si="248"/>
        <v>20250708</v>
      </c>
      <c r="B1136" s="2" t="str">
        <f>"28520233"</f>
        <v>28520233</v>
      </c>
      <c r="C1136" s="2" t="str">
        <f>"김우빈"</f>
        <v>김우빈</v>
      </c>
      <c r="D1136" s="2" t="str">
        <f>"M"</f>
        <v>M</v>
      </c>
      <c r="E1136" s="2" t="str">
        <f>"19871224"</f>
        <v>19871224</v>
      </c>
      <c r="F1136" s="2" t="str">
        <f>"37"</f>
        <v>37</v>
      </c>
      <c r="G1136" s="2" t="str">
        <f t="shared" si="238"/>
        <v>E78660</v>
      </c>
      <c r="H1136" s="2" t="str">
        <f t="shared" si="239"/>
        <v>가톨릭대학교 서울성모병원</v>
      </c>
      <c r="I1136" s="2" t="str">
        <f t="shared" si="247"/>
        <v>특수</v>
      </c>
    </row>
    <row r="1137" spans="1:9" x14ac:dyDescent="0.3">
      <c r="A1137" s="2" t="str">
        <f t="shared" si="248"/>
        <v>20250708</v>
      </c>
      <c r="B1137" s="2" t="str">
        <f>"30795890"</f>
        <v>30795890</v>
      </c>
      <c r="C1137" s="2" t="str">
        <f>"전혜주"</f>
        <v>전혜주</v>
      </c>
      <c r="D1137" s="2" t="str">
        <f>"F"</f>
        <v>F</v>
      </c>
      <c r="E1137" s="2" t="str">
        <f>"19960207"</f>
        <v>19960207</v>
      </c>
      <c r="F1137" s="2" t="str">
        <f>"29"</f>
        <v>29</v>
      </c>
      <c r="G1137" s="2" t="str">
        <f t="shared" si="238"/>
        <v>E78660</v>
      </c>
      <c r="H1137" s="2" t="str">
        <f t="shared" si="239"/>
        <v>가톨릭대학교 서울성모병원</v>
      </c>
      <c r="I1137" s="2" t="str">
        <f t="shared" si="247"/>
        <v>특수</v>
      </c>
    </row>
    <row r="1138" spans="1:9" x14ac:dyDescent="0.3">
      <c r="A1138" s="2" t="str">
        <f t="shared" si="248"/>
        <v>20250708</v>
      </c>
      <c r="B1138" s="2" t="str">
        <f>"33448412"</f>
        <v>33448412</v>
      </c>
      <c r="C1138" s="2" t="str">
        <f>"박민아"</f>
        <v>박민아</v>
      </c>
      <c r="D1138" s="2" t="str">
        <f>"F"</f>
        <v>F</v>
      </c>
      <c r="E1138" s="2" t="str">
        <f>"19981121"</f>
        <v>19981121</v>
      </c>
      <c r="F1138" s="2" t="str">
        <f>"26"</f>
        <v>26</v>
      </c>
      <c r="G1138" s="2" t="str">
        <f t="shared" si="238"/>
        <v>E78660</v>
      </c>
      <c r="H1138" s="2" t="str">
        <f t="shared" si="239"/>
        <v>가톨릭대학교 서울성모병원</v>
      </c>
      <c r="I1138" s="2" t="str">
        <f t="shared" si="247"/>
        <v>특수</v>
      </c>
    </row>
    <row r="1139" spans="1:9" x14ac:dyDescent="0.3">
      <c r="A1139" s="2" t="str">
        <f t="shared" si="248"/>
        <v>20250708</v>
      </c>
      <c r="B1139" s="2" t="str">
        <f>"34676412"</f>
        <v>34676412</v>
      </c>
      <c r="C1139" s="2" t="str">
        <f>"전자현"</f>
        <v>전자현</v>
      </c>
      <c r="D1139" s="2" t="str">
        <f>"F"</f>
        <v>F</v>
      </c>
      <c r="E1139" s="2" t="str">
        <f>"19941129"</f>
        <v>19941129</v>
      </c>
      <c r="F1139" s="2" t="str">
        <f>"30"</f>
        <v>30</v>
      </c>
      <c r="G1139" s="2" t="str">
        <f t="shared" si="238"/>
        <v>E78660</v>
      </c>
      <c r="H1139" s="2" t="str">
        <f t="shared" si="239"/>
        <v>가톨릭대학교 서울성모병원</v>
      </c>
      <c r="I1139" s="2" t="str">
        <f t="shared" si="247"/>
        <v>특수</v>
      </c>
    </row>
    <row r="1140" spans="1:9" x14ac:dyDescent="0.3">
      <c r="A1140" s="2" t="str">
        <f t="shared" si="248"/>
        <v>20250708</v>
      </c>
      <c r="B1140" s="2" t="str">
        <f>"37047592"</f>
        <v>37047592</v>
      </c>
      <c r="C1140" s="2" t="str">
        <f>"조영진"</f>
        <v>조영진</v>
      </c>
      <c r="D1140" s="2" t="str">
        <f>"M"</f>
        <v>M</v>
      </c>
      <c r="E1140" s="2" t="str">
        <f>"19960506"</f>
        <v>19960506</v>
      </c>
      <c r="F1140" s="2" t="str">
        <f>"29"</f>
        <v>29</v>
      </c>
      <c r="G1140" s="2" t="str">
        <f t="shared" si="238"/>
        <v>E78660</v>
      </c>
      <c r="H1140" s="2" t="str">
        <f t="shared" si="239"/>
        <v>가톨릭대학교 서울성모병원</v>
      </c>
      <c r="I1140" s="2" t="str">
        <f t="shared" si="247"/>
        <v>특수</v>
      </c>
    </row>
    <row r="1141" spans="1:9" x14ac:dyDescent="0.3">
      <c r="A1141" s="2" t="str">
        <f t="shared" si="248"/>
        <v>20250708</v>
      </c>
      <c r="B1141" s="2" t="str">
        <f>"38512436"</f>
        <v>38512436</v>
      </c>
      <c r="C1141" s="2" t="str">
        <f>"이수빈"</f>
        <v>이수빈</v>
      </c>
      <c r="D1141" s="2" t="str">
        <f>"F"</f>
        <v>F</v>
      </c>
      <c r="E1141" s="2" t="str">
        <f>"19990327"</f>
        <v>19990327</v>
      </c>
      <c r="F1141" s="2" t="str">
        <f>"26"</f>
        <v>26</v>
      </c>
      <c r="G1141" s="2" t="str">
        <f t="shared" si="238"/>
        <v>E78660</v>
      </c>
      <c r="H1141" s="2" t="str">
        <f t="shared" si="239"/>
        <v>가톨릭대학교 서울성모병원</v>
      </c>
      <c r="I1141" s="2" t="str">
        <f t="shared" si="247"/>
        <v>특수</v>
      </c>
    </row>
    <row r="1142" spans="1:9" x14ac:dyDescent="0.3">
      <c r="A1142" s="2" t="str">
        <f t="shared" ref="A1142:A1154" si="249">"20250709"</f>
        <v>20250709</v>
      </c>
      <c r="B1142" s="2" t="str">
        <f>"12881408"</f>
        <v>12881408</v>
      </c>
      <c r="C1142" s="2" t="str">
        <f>"박혜영"</f>
        <v>박혜영</v>
      </c>
      <c r="D1142" s="2" t="str">
        <f>"F"</f>
        <v>F</v>
      </c>
      <c r="E1142" s="2" t="str">
        <f>"19780213"</f>
        <v>19780213</v>
      </c>
      <c r="F1142" s="2" t="str">
        <f>"47"</f>
        <v>47</v>
      </c>
      <c r="G1142" s="2" t="str">
        <f t="shared" si="238"/>
        <v>E78660</v>
      </c>
      <c r="H1142" s="2" t="str">
        <f t="shared" si="239"/>
        <v>가톨릭대학교 서울성모병원</v>
      </c>
      <c r="I1142" s="2" t="str">
        <f t="shared" si="247"/>
        <v>특수</v>
      </c>
    </row>
    <row r="1143" spans="1:9" x14ac:dyDescent="0.3">
      <c r="A1143" s="2" t="str">
        <f t="shared" si="249"/>
        <v>20250709</v>
      </c>
      <c r="B1143" s="2" t="str">
        <f>"15371892"</f>
        <v>15371892</v>
      </c>
      <c r="C1143" s="2" t="str">
        <f>"황은화"</f>
        <v>황은화</v>
      </c>
      <c r="D1143" s="2" t="str">
        <f>"F"</f>
        <v>F</v>
      </c>
      <c r="E1143" s="2" t="str">
        <f>"19800602"</f>
        <v>19800602</v>
      </c>
      <c r="F1143" s="2" t="str">
        <f>"45"</f>
        <v>45</v>
      </c>
      <c r="G1143" s="2" t="str">
        <f t="shared" si="238"/>
        <v>E78660</v>
      </c>
      <c r="H1143" s="2" t="str">
        <f t="shared" si="239"/>
        <v>가톨릭대학교 서울성모병원</v>
      </c>
      <c r="I1143" s="2" t="str">
        <f t="shared" si="247"/>
        <v>특수</v>
      </c>
    </row>
    <row r="1144" spans="1:9" x14ac:dyDescent="0.3">
      <c r="A1144" s="2" t="str">
        <f t="shared" si="249"/>
        <v>20250709</v>
      </c>
      <c r="B1144" s="2" t="str">
        <f>"20341306"</f>
        <v>20341306</v>
      </c>
      <c r="C1144" s="2" t="str">
        <f>"정승환"</f>
        <v>정승환</v>
      </c>
      <c r="D1144" s="2" t="str">
        <f>"M"</f>
        <v>M</v>
      </c>
      <c r="E1144" s="2" t="str">
        <f>"19690714"</f>
        <v>19690714</v>
      </c>
      <c r="F1144" s="2" t="str">
        <f>"56"</f>
        <v>56</v>
      </c>
      <c r="G1144" s="2" t="str">
        <f t="shared" si="238"/>
        <v>E78660</v>
      </c>
      <c r="H1144" s="2" t="str">
        <f t="shared" si="239"/>
        <v>가톨릭대학교 서울성모병원</v>
      </c>
      <c r="I1144" s="2" t="str">
        <f t="shared" si="247"/>
        <v>특수</v>
      </c>
    </row>
    <row r="1145" spans="1:9" x14ac:dyDescent="0.3">
      <c r="A1145" s="2" t="str">
        <f t="shared" si="249"/>
        <v>20250709</v>
      </c>
      <c r="B1145" s="2" t="str">
        <f>"24085273"</f>
        <v>24085273</v>
      </c>
      <c r="C1145" s="2" t="str">
        <f>"이미리"</f>
        <v>이미리</v>
      </c>
      <c r="D1145" s="2" t="str">
        <f t="shared" ref="D1145:D1150" si="250">"F"</f>
        <v>F</v>
      </c>
      <c r="E1145" s="2" t="str">
        <f>"19850729"</f>
        <v>19850729</v>
      </c>
      <c r="F1145" s="2" t="str">
        <f>"39"</f>
        <v>39</v>
      </c>
      <c r="G1145" s="2" t="str">
        <f t="shared" si="238"/>
        <v>E78660</v>
      </c>
      <c r="H1145" s="2" t="str">
        <f t="shared" si="239"/>
        <v>가톨릭대학교 서울성모병원</v>
      </c>
      <c r="I1145" s="2" t="str">
        <f t="shared" si="247"/>
        <v>특수</v>
      </c>
    </row>
    <row r="1146" spans="1:9" x14ac:dyDescent="0.3">
      <c r="A1146" s="2" t="str">
        <f t="shared" si="249"/>
        <v>20250709</v>
      </c>
      <c r="B1146" s="2" t="str">
        <f>"25478201"</f>
        <v>25478201</v>
      </c>
      <c r="C1146" s="2" t="str">
        <f>"조아라"</f>
        <v>조아라</v>
      </c>
      <c r="D1146" s="2" t="str">
        <f t="shared" si="250"/>
        <v>F</v>
      </c>
      <c r="E1146" s="2" t="str">
        <f>"19900516"</f>
        <v>19900516</v>
      </c>
      <c r="F1146" s="2" t="str">
        <f>"35"</f>
        <v>35</v>
      </c>
      <c r="G1146" s="2" t="str">
        <f t="shared" si="238"/>
        <v>E78660</v>
      </c>
      <c r="H1146" s="2" t="str">
        <f t="shared" si="239"/>
        <v>가톨릭대학교 서울성모병원</v>
      </c>
      <c r="I1146" s="2" t="str">
        <f t="shared" si="247"/>
        <v>특수</v>
      </c>
    </row>
    <row r="1147" spans="1:9" x14ac:dyDescent="0.3">
      <c r="A1147" s="2" t="str">
        <f t="shared" si="249"/>
        <v>20250709</v>
      </c>
      <c r="B1147" s="2" t="str">
        <f>"26066900"</f>
        <v>26066900</v>
      </c>
      <c r="C1147" s="2" t="str">
        <f>"방지윤"</f>
        <v>방지윤</v>
      </c>
      <c r="D1147" s="2" t="str">
        <f t="shared" si="250"/>
        <v>F</v>
      </c>
      <c r="E1147" s="2" t="str">
        <f>"19891020"</f>
        <v>19891020</v>
      </c>
      <c r="F1147" s="2" t="str">
        <f>"35"</f>
        <v>35</v>
      </c>
      <c r="G1147" s="2" t="str">
        <f t="shared" si="238"/>
        <v>E78660</v>
      </c>
      <c r="H1147" s="2" t="str">
        <f t="shared" si="239"/>
        <v>가톨릭대학교 서울성모병원</v>
      </c>
      <c r="I1147" s="2" t="str">
        <f t="shared" si="247"/>
        <v>특수</v>
      </c>
    </row>
    <row r="1148" spans="1:9" x14ac:dyDescent="0.3">
      <c r="A1148" s="2" t="str">
        <f t="shared" si="249"/>
        <v>20250709</v>
      </c>
      <c r="B1148" s="2" t="str">
        <f>"26260102"</f>
        <v>26260102</v>
      </c>
      <c r="C1148" s="2" t="str">
        <f>"윤지현"</f>
        <v>윤지현</v>
      </c>
      <c r="D1148" s="2" t="str">
        <f t="shared" si="250"/>
        <v>F</v>
      </c>
      <c r="E1148" s="2" t="str">
        <f>"19900527"</f>
        <v>19900527</v>
      </c>
      <c r="F1148" s="2" t="str">
        <f>"35"</f>
        <v>35</v>
      </c>
      <c r="G1148" s="2" t="str">
        <f t="shared" si="238"/>
        <v>E78660</v>
      </c>
      <c r="H1148" s="2" t="str">
        <f t="shared" si="239"/>
        <v>가톨릭대학교 서울성모병원</v>
      </c>
      <c r="I1148" s="2" t="str">
        <f t="shared" si="247"/>
        <v>특수</v>
      </c>
    </row>
    <row r="1149" spans="1:9" x14ac:dyDescent="0.3">
      <c r="A1149" s="2" t="str">
        <f t="shared" si="249"/>
        <v>20250709</v>
      </c>
      <c r="B1149" s="2" t="str">
        <f>"34067964"</f>
        <v>34067964</v>
      </c>
      <c r="C1149" s="2" t="str">
        <f>"한예슬"</f>
        <v>한예슬</v>
      </c>
      <c r="D1149" s="2" t="str">
        <f t="shared" si="250"/>
        <v>F</v>
      </c>
      <c r="E1149" s="2" t="str">
        <f>"19940903"</f>
        <v>19940903</v>
      </c>
      <c r="F1149" s="2" t="str">
        <f>"30"</f>
        <v>30</v>
      </c>
      <c r="G1149" s="2" t="str">
        <f t="shared" si="238"/>
        <v>E78660</v>
      </c>
      <c r="H1149" s="2" t="str">
        <f t="shared" si="239"/>
        <v>가톨릭대학교 서울성모병원</v>
      </c>
      <c r="I1149" s="2" t="str">
        <f t="shared" si="247"/>
        <v>특수</v>
      </c>
    </row>
    <row r="1150" spans="1:9" x14ac:dyDescent="0.3">
      <c r="A1150" s="2" t="str">
        <f t="shared" si="249"/>
        <v>20250709</v>
      </c>
      <c r="B1150" s="2" t="str">
        <f>"36152292"</f>
        <v>36152292</v>
      </c>
      <c r="C1150" s="2" t="str">
        <f>"조규희"</f>
        <v>조규희</v>
      </c>
      <c r="D1150" s="2" t="str">
        <f t="shared" si="250"/>
        <v>F</v>
      </c>
      <c r="E1150" s="2" t="str">
        <f>"19980129"</f>
        <v>19980129</v>
      </c>
      <c r="F1150" s="2" t="str">
        <f>"27"</f>
        <v>27</v>
      </c>
      <c r="G1150" s="2" t="str">
        <f t="shared" si="238"/>
        <v>E78660</v>
      </c>
      <c r="H1150" s="2" t="str">
        <f t="shared" si="239"/>
        <v>가톨릭대학교 서울성모병원</v>
      </c>
      <c r="I1150" s="2" t="str">
        <f t="shared" si="247"/>
        <v>특수</v>
      </c>
    </row>
    <row r="1151" spans="1:9" x14ac:dyDescent="0.3">
      <c r="A1151" s="2" t="str">
        <f t="shared" si="249"/>
        <v>20250709</v>
      </c>
      <c r="B1151" s="2" t="str">
        <f>"38819722"</f>
        <v>38819722</v>
      </c>
      <c r="C1151" s="2" t="str">
        <f>"조상현"</f>
        <v>조상현</v>
      </c>
      <c r="D1151" s="2" t="str">
        <f>"M"</f>
        <v>M</v>
      </c>
      <c r="E1151" s="2" t="str">
        <f>"19960907"</f>
        <v>19960907</v>
      </c>
      <c r="F1151" s="2" t="str">
        <f>"28"</f>
        <v>28</v>
      </c>
      <c r="G1151" s="2" t="str">
        <f t="shared" si="238"/>
        <v>E78660</v>
      </c>
      <c r="H1151" s="2" t="str">
        <f t="shared" si="239"/>
        <v>가톨릭대학교 서울성모병원</v>
      </c>
      <c r="I1151" s="2" t="str">
        <f t="shared" si="247"/>
        <v>특수</v>
      </c>
    </row>
    <row r="1152" spans="1:9" x14ac:dyDescent="0.3">
      <c r="A1152" s="2" t="str">
        <f t="shared" si="249"/>
        <v>20250709</v>
      </c>
      <c r="B1152" s="2" t="str">
        <f>"39356142"</f>
        <v>39356142</v>
      </c>
      <c r="C1152" s="2" t="str">
        <f>"황기훈"</f>
        <v>황기훈</v>
      </c>
      <c r="D1152" s="2" t="str">
        <f>"M"</f>
        <v>M</v>
      </c>
      <c r="E1152" s="2" t="str">
        <f>"19901126"</f>
        <v>19901126</v>
      </c>
      <c r="F1152" s="2" t="str">
        <f>"34"</f>
        <v>34</v>
      </c>
      <c r="G1152" s="2" t="str">
        <f t="shared" si="238"/>
        <v>E78660</v>
      </c>
      <c r="H1152" s="2" t="str">
        <f t="shared" si="239"/>
        <v>가톨릭대학교 서울성모병원</v>
      </c>
      <c r="I1152" s="2" t="str">
        <f t="shared" si="247"/>
        <v>특수</v>
      </c>
    </row>
    <row r="1153" spans="1:9" x14ac:dyDescent="0.3">
      <c r="A1153" s="2" t="str">
        <f t="shared" si="249"/>
        <v>20250709</v>
      </c>
      <c r="B1153" s="2" t="str">
        <f>"6430840"</f>
        <v>6430840</v>
      </c>
      <c r="C1153" s="2" t="str">
        <f>"조수옥"</f>
        <v>조수옥</v>
      </c>
      <c r="D1153" s="2" t="str">
        <f>"F"</f>
        <v>F</v>
      </c>
      <c r="E1153" s="2" t="str">
        <f>"19701027"</f>
        <v>19701027</v>
      </c>
      <c r="F1153" s="2" t="str">
        <f>"54"</f>
        <v>54</v>
      </c>
      <c r="G1153" s="2" t="str">
        <f t="shared" si="238"/>
        <v>E78660</v>
      </c>
      <c r="H1153" s="2" t="str">
        <f t="shared" si="239"/>
        <v>가톨릭대학교 서울성모병원</v>
      </c>
      <c r="I1153" s="2" t="str">
        <f t="shared" si="247"/>
        <v>특수</v>
      </c>
    </row>
    <row r="1154" spans="1:9" x14ac:dyDescent="0.3">
      <c r="A1154" s="2" t="str">
        <f t="shared" si="249"/>
        <v>20250709</v>
      </c>
      <c r="B1154" s="2" t="str">
        <f>"9297341"</f>
        <v>9297341</v>
      </c>
      <c r="C1154" s="2" t="str">
        <f>"정영태"</f>
        <v>정영태</v>
      </c>
      <c r="D1154" s="2" t="str">
        <f>"M"</f>
        <v>M</v>
      </c>
      <c r="E1154" s="2" t="str">
        <f>"19720521"</f>
        <v>19720521</v>
      </c>
      <c r="F1154" s="2" t="str">
        <f>"53"</f>
        <v>53</v>
      </c>
      <c r="G1154" s="2" t="str">
        <f t="shared" si="238"/>
        <v>E78660</v>
      </c>
      <c r="H1154" s="2" t="str">
        <f t="shared" si="239"/>
        <v>가톨릭대학교 서울성모병원</v>
      </c>
      <c r="I1154" s="2" t="str">
        <f t="shared" si="247"/>
        <v>특수</v>
      </c>
    </row>
    <row r="1155" spans="1:9" x14ac:dyDescent="0.3">
      <c r="A1155" s="2" t="str">
        <f t="shared" ref="A1155:A1162" si="251">"20250710"</f>
        <v>20250710</v>
      </c>
      <c r="B1155" s="2" t="str">
        <f>"17606218"</f>
        <v>17606218</v>
      </c>
      <c r="C1155" s="2" t="str">
        <f>"최수희"</f>
        <v>최수희</v>
      </c>
      <c r="D1155" s="2" t="str">
        <f>"F"</f>
        <v>F</v>
      </c>
      <c r="E1155" s="2" t="str">
        <f>"19820215"</f>
        <v>19820215</v>
      </c>
      <c r="F1155" s="2" t="str">
        <f>"43"</f>
        <v>43</v>
      </c>
      <c r="G1155" s="2" t="str">
        <f t="shared" si="238"/>
        <v>E78660</v>
      </c>
      <c r="H1155" s="2" t="str">
        <f t="shared" si="239"/>
        <v>가톨릭대학교 서울성모병원</v>
      </c>
      <c r="I1155" s="2" t="str">
        <f t="shared" si="247"/>
        <v>특수</v>
      </c>
    </row>
    <row r="1156" spans="1:9" x14ac:dyDescent="0.3">
      <c r="A1156" s="2" t="str">
        <f t="shared" si="251"/>
        <v>20250710</v>
      </c>
      <c r="B1156" s="2" t="str">
        <f>"19585331"</f>
        <v>19585331</v>
      </c>
      <c r="C1156" s="2" t="str">
        <f>"신진영"</f>
        <v>신진영</v>
      </c>
      <c r="D1156" s="2" t="str">
        <f>"F"</f>
        <v>F</v>
      </c>
      <c r="E1156" s="2" t="str">
        <f>"19800811"</f>
        <v>19800811</v>
      </c>
      <c r="F1156" s="2" t="str">
        <f>"44"</f>
        <v>44</v>
      </c>
      <c r="G1156" s="2" t="str">
        <f t="shared" si="238"/>
        <v>E78660</v>
      </c>
      <c r="H1156" s="2" t="str">
        <f t="shared" si="239"/>
        <v>가톨릭대학교 서울성모병원</v>
      </c>
      <c r="I1156" s="2" t="str">
        <f t="shared" si="247"/>
        <v>특수</v>
      </c>
    </row>
    <row r="1157" spans="1:9" x14ac:dyDescent="0.3">
      <c r="A1157" s="2" t="str">
        <f t="shared" si="251"/>
        <v>20250710</v>
      </c>
      <c r="B1157" s="2" t="str">
        <f>"28388704"</f>
        <v>28388704</v>
      </c>
      <c r="C1157" s="2" t="str">
        <f>"김다영"</f>
        <v>김다영</v>
      </c>
      <c r="D1157" s="2" t="str">
        <f>"F"</f>
        <v>F</v>
      </c>
      <c r="E1157" s="2" t="str">
        <f>"19910721"</f>
        <v>19910721</v>
      </c>
      <c r="F1157" s="2" t="str">
        <f>"33"</f>
        <v>33</v>
      </c>
      <c r="G1157" s="2" t="str">
        <f t="shared" ref="G1157:G1220" si="252">"E78660"</f>
        <v>E78660</v>
      </c>
      <c r="H1157" s="2" t="str">
        <f t="shared" ref="H1157:H1220" si="253">"가톨릭대학교 서울성모병원"</f>
        <v>가톨릭대학교 서울성모병원</v>
      </c>
      <c r="I1157" s="2" t="str">
        <f t="shared" si="247"/>
        <v>특수</v>
      </c>
    </row>
    <row r="1158" spans="1:9" x14ac:dyDescent="0.3">
      <c r="A1158" s="2" t="str">
        <f t="shared" si="251"/>
        <v>20250710</v>
      </c>
      <c r="B1158" s="2" t="str">
        <f>"34812541"</f>
        <v>34812541</v>
      </c>
      <c r="C1158" s="2" t="str">
        <f>"박현수"</f>
        <v>박현수</v>
      </c>
      <c r="D1158" s="2" t="str">
        <f>"M"</f>
        <v>M</v>
      </c>
      <c r="E1158" s="2" t="str">
        <f>"19941107"</f>
        <v>19941107</v>
      </c>
      <c r="F1158" s="2" t="str">
        <f>"30"</f>
        <v>30</v>
      </c>
      <c r="G1158" s="2" t="str">
        <f t="shared" si="252"/>
        <v>E78660</v>
      </c>
      <c r="H1158" s="2" t="str">
        <f t="shared" si="253"/>
        <v>가톨릭대학교 서울성모병원</v>
      </c>
      <c r="I1158" s="2" t="str">
        <f t="shared" si="247"/>
        <v>특수</v>
      </c>
    </row>
    <row r="1159" spans="1:9" x14ac:dyDescent="0.3">
      <c r="A1159" s="2" t="str">
        <f t="shared" si="251"/>
        <v>20250710</v>
      </c>
      <c r="B1159" s="2" t="str">
        <f>"39231522"</f>
        <v>39231522</v>
      </c>
      <c r="C1159" s="2" t="str">
        <f>"박주은"</f>
        <v>박주은</v>
      </c>
      <c r="D1159" s="2" t="str">
        <f>"F"</f>
        <v>F</v>
      </c>
      <c r="E1159" s="2" t="str">
        <f>"20000930"</f>
        <v>20000930</v>
      </c>
      <c r="F1159" s="2" t="str">
        <f>"24"</f>
        <v>24</v>
      </c>
      <c r="G1159" s="2" t="str">
        <f t="shared" si="252"/>
        <v>E78660</v>
      </c>
      <c r="H1159" s="2" t="str">
        <f t="shared" si="253"/>
        <v>가톨릭대학교 서울성모병원</v>
      </c>
      <c r="I1159" s="2" t="str">
        <f t="shared" si="247"/>
        <v>특수</v>
      </c>
    </row>
    <row r="1160" spans="1:9" x14ac:dyDescent="0.3">
      <c r="A1160" s="2" t="str">
        <f t="shared" si="251"/>
        <v>20250710</v>
      </c>
      <c r="B1160" s="2" t="str">
        <f>"39772144"</f>
        <v>39772144</v>
      </c>
      <c r="C1160" s="2" t="str">
        <f>"홍예진"</f>
        <v>홍예진</v>
      </c>
      <c r="D1160" s="2" t="str">
        <f>"F"</f>
        <v>F</v>
      </c>
      <c r="E1160" s="2" t="str">
        <f>"20010502"</f>
        <v>20010502</v>
      </c>
      <c r="F1160" s="2" t="str">
        <f>"24"</f>
        <v>24</v>
      </c>
      <c r="G1160" s="2" t="str">
        <f t="shared" si="252"/>
        <v>E78660</v>
      </c>
      <c r="H1160" s="2" t="str">
        <f t="shared" si="253"/>
        <v>가톨릭대학교 서울성모병원</v>
      </c>
      <c r="I1160" s="2" t="str">
        <f t="shared" si="247"/>
        <v>특수</v>
      </c>
    </row>
    <row r="1161" spans="1:9" x14ac:dyDescent="0.3">
      <c r="A1161" s="2" t="str">
        <f t="shared" si="251"/>
        <v>20250710</v>
      </c>
      <c r="B1161" s="2" t="str">
        <f>"40357793"</f>
        <v>40357793</v>
      </c>
      <c r="C1161" s="2" t="str">
        <f>"이지민"</f>
        <v>이지민</v>
      </c>
      <c r="D1161" s="2" t="str">
        <f>"F"</f>
        <v>F</v>
      </c>
      <c r="E1161" s="2" t="str">
        <f>"20020115"</f>
        <v>20020115</v>
      </c>
      <c r="F1161" s="2" t="str">
        <f>"23"</f>
        <v>23</v>
      </c>
      <c r="G1161" s="2" t="str">
        <f t="shared" si="252"/>
        <v>E78660</v>
      </c>
      <c r="H1161" s="2" t="str">
        <f t="shared" si="253"/>
        <v>가톨릭대학교 서울성모병원</v>
      </c>
      <c r="I1161" s="2" t="str">
        <f>"배치후"</f>
        <v>배치후</v>
      </c>
    </row>
    <row r="1162" spans="1:9" x14ac:dyDescent="0.3">
      <c r="A1162" s="2" t="str">
        <f t="shared" si="251"/>
        <v>20250710</v>
      </c>
      <c r="B1162" s="2" t="str">
        <f>"9767018"</f>
        <v>9767018</v>
      </c>
      <c r="C1162" s="2" t="str">
        <f>"김혜민"</f>
        <v>김혜민</v>
      </c>
      <c r="D1162" s="2" t="str">
        <f>"F"</f>
        <v>F</v>
      </c>
      <c r="E1162" s="2" t="str">
        <f>"19951007"</f>
        <v>19951007</v>
      </c>
      <c r="F1162" s="2" t="str">
        <f>"29"</f>
        <v>29</v>
      </c>
      <c r="G1162" s="2" t="str">
        <f t="shared" si="252"/>
        <v>E78660</v>
      </c>
      <c r="H1162" s="2" t="str">
        <f t="shared" si="253"/>
        <v>가톨릭대학교 서울성모병원</v>
      </c>
      <c r="I1162" s="2" t="str">
        <f>"배치후"</f>
        <v>배치후</v>
      </c>
    </row>
    <row r="1163" spans="1:9" x14ac:dyDescent="0.3">
      <c r="A1163" s="2" t="str">
        <f t="shared" ref="A1163:A1172" si="254">"20250714"</f>
        <v>20250714</v>
      </c>
      <c r="B1163" s="2" t="str">
        <f>"10114865"</f>
        <v>10114865</v>
      </c>
      <c r="C1163" s="2" t="str">
        <f>"김기순"</f>
        <v>김기순</v>
      </c>
      <c r="D1163" s="2" t="str">
        <f>"F"</f>
        <v>F</v>
      </c>
      <c r="E1163" s="2" t="str">
        <f>"19741221"</f>
        <v>19741221</v>
      </c>
      <c r="F1163" s="2" t="str">
        <f>"50"</f>
        <v>50</v>
      </c>
      <c r="G1163" s="2" t="str">
        <f t="shared" si="252"/>
        <v>E78660</v>
      </c>
      <c r="H1163" s="2" t="str">
        <f t="shared" si="253"/>
        <v>가톨릭대학교 서울성모병원</v>
      </c>
      <c r="I1163" s="2" t="str">
        <f t="shared" ref="I1163:I1184" si="255">"특수"</f>
        <v>특수</v>
      </c>
    </row>
    <row r="1164" spans="1:9" x14ac:dyDescent="0.3">
      <c r="A1164" s="2" t="str">
        <f t="shared" si="254"/>
        <v>20250714</v>
      </c>
      <c r="B1164" s="2" t="str">
        <f>"18832625"</f>
        <v>18832625</v>
      </c>
      <c r="C1164" s="2" t="str">
        <f>"변현석"</f>
        <v>변현석</v>
      </c>
      <c r="D1164" s="2" t="str">
        <f>"M"</f>
        <v>M</v>
      </c>
      <c r="E1164" s="2" t="str">
        <f>"19810331"</f>
        <v>19810331</v>
      </c>
      <c r="F1164" s="2" t="str">
        <f>"44"</f>
        <v>44</v>
      </c>
      <c r="G1164" s="2" t="str">
        <f t="shared" si="252"/>
        <v>E78660</v>
      </c>
      <c r="H1164" s="2" t="str">
        <f t="shared" si="253"/>
        <v>가톨릭대학교 서울성모병원</v>
      </c>
      <c r="I1164" s="2" t="str">
        <f t="shared" si="255"/>
        <v>특수</v>
      </c>
    </row>
    <row r="1165" spans="1:9" x14ac:dyDescent="0.3">
      <c r="A1165" s="2" t="str">
        <f t="shared" si="254"/>
        <v>20250714</v>
      </c>
      <c r="B1165" s="2" t="str">
        <f>"19027223"</f>
        <v>19027223</v>
      </c>
      <c r="C1165" s="2" t="str">
        <f>"이남주"</f>
        <v>이남주</v>
      </c>
      <c r="D1165" s="2" t="str">
        <f>"M"</f>
        <v>M</v>
      </c>
      <c r="E1165" s="2" t="str">
        <f>"19801026"</f>
        <v>19801026</v>
      </c>
      <c r="F1165" s="2" t="str">
        <f>"44"</f>
        <v>44</v>
      </c>
      <c r="G1165" s="2" t="str">
        <f t="shared" si="252"/>
        <v>E78660</v>
      </c>
      <c r="H1165" s="2" t="str">
        <f t="shared" si="253"/>
        <v>가톨릭대학교 서울성모병원</v>
      </c>
      <c r="I1165" s="2" t="str">
        <f t="shared" si="255"/>
        <v>특수</v>
      </c>
    </row>
    <row r="1166" spans="1:9" x14ac:dyDescent="0.3">
      <c r="A1166" s="2" t="str">
        <f t="shared" si="254"/>
        <v>20250714</v>
      </c>
      <c r="B1166" s="2" t="str">
        <f>"25152165"</f>
        <v>25152165</v>
      </c>
      <c r="C1166" s="2" t="str">
        <f>"박청록"</f>
        <v>박청록</v>
      </c>
      <c r="D1166" s="2" t="str">
        <f>"F"</f>
        <v>F</v>
      </c>
      <c r="E1166" s="2" t="str">
        <f>"19850730"</f>
        <v>19850730</v>
      </c>
      <c r="F1166" s="2" t="str">
        <f>"39"</f>
        <v>39</v>
      </c>
      <c r="G1166" s="2" t="str">
        <f t="shared" si="252"/>
        <v>E78660</v>
      </c>
      <c r="H1166" s="2" t="str">
        <f t="shared" si="253"/>
        <v>가톨릭대학교 서울성모병원</v>
      </c>
      <c r="I1166" s="2" t="str">
        <f t="shared" si="255"/>
        <v>특수</v>
      </c>
    </row>
    <row r="1167" spans="1:9" x14ac:dyDescent="0.3">
      <c r="A1167" s="2" t="str">
        <f t="shared" si="254"/>
        <v>20250714</v>
      </c>
      <c r="B1167" s="2" t="str">
        <f>"31400071"</f>
        <v>31400071</v>
      </c>
      <c r="C1167" s="2" t="str">
        <f>"안승혁"</f>
        <v>안승혁</v>
      </c>
      <c r="D1167" s="2" t="str">
        <f>"M"</f>
        <v>M</v>
      </c>
      <c r="E1167" s="2" t="str">
        <f>"19911022"</f>
        <v>19911022</v>
      </c>
      <c r="F1167" s="2" t="str">
        <f>"33"</f>
        <v>33</v>
      </c>
      <c r="G1167" s="2" t="str">
        <f t="shared" si="252"/>
        <v>E78660</v>
      </c>
      <c r="H1167" s="2" t="str">
        <f t="shared" si="253"/>
        <v>가톨릭대학교 서울성모병원</v>
      </c>
      <c r="I1167" s="2" t="str">
        <f t="shared" si="255"/>
        <v>특수</v>
      </c>
    </row>
    <row r="1168" spans="1:9" x14ac:dyDescent="0.3">
      <c r="A1168" s="2" t="str">
        <f t="shared" si="254"/>
        <v>20250714</v>
      </c>
      <c r="B1168" s="2" t="str">
        <f>"36334602"</f>
        <v>36334602</v>
      </c>
      <c r="C1168" s="2" t="str">
        <f>"허철웅"</f>
        <v>허철웅</v>
      </c>
      <c r="D1168" s="2" t="str">
        <f>"M"</f>
        <v>M</v>
      </c>
      <c r="E1168" s="2" t="str">
        <f>"19901015"</f>
        <v>19901015</v>
      </c>
      <c r="F1168" s="2" t="str">
        <f>"34"</f>
        <v>34</v>
      </c>
      <c r="G1168" s="2" t="str">
        <f t="shared" si="252"/>
        <v>E78660</v>
      </c>
      <c r="H1168" s="2" t="str">
        <f t="shared" si="253"/>
        <v>가톨릭대학교 서울성모병원</v>
      </c>
      <c r="I1168" s="2" t="str">
        <f t="shared" si="255"/>
        <v>특수</v>
      </c>
    </row>
    <row r="1169" spans="1:9" x14ac:dyDescent="0.3">
      <c r="A1169" s="2" t="str">
        <f t="shared" si="254"/>
        <v>20250714</v>
      </c>
      <c r="B1169" s="2" t="str">
        <f>"37017305"</f>
        <v>37017305</v>
      </c>
      <c r="C1169" s="2" t="str">
        <f>"이정우"</f>
        <v>이정우</v>
      </c>
      <c r="D1169" s="2" t="str">
        <f>"M"</f>
        <v>M</v>
      </c>
      <c r="E1169" s="2" t="str">
        <f>"19971222"</f>
        <v>19971222</v>
      </c>
      <c r="F1169" s="2" t="str">
        <f>"27"</f>
        <v>27</v>
      </c>
      <c r="G1169" s="2" t="str">
        <f t="shared" si="252"/>
        <v>E78660</v>
      </c>
      <c r="H1169" s="2" t="str">
        <f t="shared" si="253"/>
        <v>가톨릭대학교 서울성모병원</v>
      </c>
      <c r="I1169" s="2" t="str">
        <f t="shared" si="255"/>
        <v>특수</v>
      </c>
    </row>
    <row r="1170" spans="1:9" x14ac:dyDescent="0.3">
      <c r="A1170" s="2" t="str">
        <f t="shared" si="254"/>
        <v>20250714</v>
      </c>
      <c r="B1170" s="2" t="str">
        <f>"38605762"</f>
        <v>38605762</v>
      </c>
      <c r="C1170" s="2" t="str">
        <f>"박근혁"</f>
        <v>박근혁</v>
      </c>
      <c r="D1170" s="2" t="str">
        <f>"M"</f>
        <v>M</v>
      </c>
      <c r="E1170" s="2" t="str">
        <f>"19990113"</f>
        <v>19990113</v>
      </c>
      <c r="F1170" s="2" t="str">
        <f>"26"</f>
        <v>26</v>
      </c>
      <c r="G1170" s="2" t="str">
        <f t="shared" si="252"/>
        <v>E78660</v>
      </c>
      <c r="H1170" s="2" t="str">
        <f t="shared" si="253"/>
        <v>가톨릭대학교 서울성모병원</v>
      </c>
      <c r="I1170" s="2" t="str">
        <f t="shared" si="255"/>
        <v>특수</v>
      </c>
    </row>
    <row r="1171" spans="1:9" x14ac:dyDescent="0.3">
      <c r="A1171" s="2" t="str">
        <f t="shared" si="254"/>
        <v>20250714</v>
      </c>
      <c r="B1171" s="2" t="str">
        <f>"39713822"</f>
        <v>39713822</v>
      </c>
      <c r="C1171" s="2" t="str">
        <f>"박정훈"</f>
        <v>박정훈</v>
      </c>
      <c r="D1171" s="2" t="str">
        <f>"M"</f>
        <v>M</v>
      </c>
      <c r="E1171" s="2" t="str">
        <f>"19910815"</f>
        <v>19910815</v>
      </c>
      <c r="F1171" s="2" t="str">
        <f>"33"</f>
        <v>33</v>
      </c>
      <c r="G1171" s="2" t="str">
        <f t="shared" si="252"/>
        <v>E78660</v>
      </c>
      <c r="H1171" s="2" t="str">
        <f t="shared" si="253"/>
        <v>가톨릭대학교 서울성모병원</v>
      </c>
      <c r="I1171" s="2" t="str">
        <f t="shared" si="255"/>
        <v>특수</v>
      </c>
    </row>
    <row r="1172" spans="1:9" x14ac:dyDescent="0.3">
      <c r="A1172" s="2" t="str">
        <f t="shared" si="254"/>
        <v>20250714</v>
      </c>
      <c r="B1172" s="2" t="str">
        <f>"40669271"</f>
        <v>40669271</v>
      </c>
      <c r="C1172" s="2" t="str">
        <f>"김정민"</f>
        <v>김정민</v>
      </c>
      <c r="D1172" s="2" t="str">
        <f>"F"</f>
        <v>F</v>
      </c>
      <c r="E1172" s="2" t="str">
        <f>"19960914"</f>
        <v>19960914</v>
      </c>
      <c r="F1172" s="2" t="str">
        <f>"28"</f>
        <v>28</v>
      </c>
      <c r="G1172" s="2" t="str">
        <f t="shared" si="252"/>
        <v>E78660</v>
      </c>
      <c r="H1172" s="2" t="str">
        <f t="shared" si="253"/>
        <v>가톨릭대학교 서울성모병원</v>
      </c>
      <c r="I1172" s="2" t="str">
        <f t="shared" si="255"/>
        <v>특수</v>
      </c>
    </row>
    <row r="1173" spans="1:9" x14ac:dyDescent="0.3">
      <c r="A1173" s="2" t="str">
        <f>"20250715"</f>
        <v>20250715</v>
      </c>
      <c r="B1173" s="2" t="str">
        <f>"14586505"</f>
        <v>14586505</v>
      </c>
      <c r="C1173" s="2" t="str">
        <f>"송여진"</f>
        <v>송여진</v>
      </c>
      <c r="D1173" s="2" t="str">
        <f>"F"</f>
        <v>F</v>
      </c>
      <c r="E1173" s="2" t="str">
        <f>"19790415"</f>
        <v>19790415</v>
      </c>
      <c r="F1173" s="2" t="str">
        <f>"46"</f>
        <v>46</v>
      </c>
      <c r="G1173" s="2" t="str">
        <f t="shared" si="252"/>
        <v>E78660</v>
      </c>
      <c r="H1173" s="2" t="str">
        <f t="shared" si="253"/>
        <v>가톨릭대학교 서울성모병원</v>
      </c>
      <c r="I1173" s="2" t="str">
        <f t="shared" si="255"/>
        <v>특수</v>
      </c>
    </row>
    <row r="1174" spans="1:9" x14ac:dyDescent="0.3">
      <c r="A1174" s="2" t="str">
        <f>"20250715"</f>
        <v>20250715</v>
      </c>
      <c r="B1174" s="2" t="str">
        <f>"30795513"</f>
        <v>30795513</v>
      </c>
      <c r="C1174" s="2" t="str">
        <f>"이다윤"</f>
        <v>이다윤</v>
      </c>
      <c r="D1174" s="2" t="str">
        <f>"F"</f>
        <v>F</v>
      </c>
      <c r="E1174" s="2" t="str">
        <f>"19990621"</f>
        <v>19990621</v>
      </c>
      <c r="F1174" s="2" t="str">
        <f>"26"</f>
        <v>26</v>
      </c>
      <c r="G1174" s="2" t="str">
        <f t="shared" si="252"/>
        <v>E78660</v>
      </c>
      <c r="H1174" s="2" t="str">
        <f t="shared" si="253"/>
        <v>가톨릭대학교 서울성모병원</v>
      </c>
      <c r="I1174" s="2" t="str">
        <f t="shared" si="255"/>
        <v>특수</v>
      </c>
    </row>
    <row r="1175" spans="1:9" x14ac:dyDescent="0.3">
      <c r="A1175" s="2" t="str">
        <f>"20250715"</f>
        <v>20250715</v>
      </c>
      <c r="B1175" s="2" t="str">
        <f>"30795943"</f>
        <v>30795943</v>
      </c>
      <c r="C1175" s="2" t="str">
        <f>"정예진"</f>
        <v>정예진</v>
      </c>
      <c r="D1175" s="2" t="str">
        <f>"F"</f>
        <v>F</v>
      </c>
      <c r="E1175" s="2" t="str">
        <f>"19980105"</f>
        <v>19980105</v>
      </c>
      <c r="F1175" s="2" t="str">
        <f>"27"</f>
        <v>27</v>
      </c>
      <c r="G1175" s="2" t="str">
        <f t="shared" si="252"/>
        <v>E78660</v>
      </c>
      <c r="H1175" s="2" t="str">
        <f t="shared" si="253"/>
        <v>가톨릭대학교 서울성모병원</v>
      </c>
      <c r="I1175" s="2" t="str">
        <f t="shared" si="255"/>
        <v>특수</v>
      </c>
    </row>
    <row r="1176" spans="1:9" x14ac:dyDescent="0.3">
      <c r="A1176" s="2" t="str">
        <f>"20250715"</f>
        <v>20250715</v>
      </c>
      <c r="B1176" s="2" t="str">
        <f>"36152136"</f>
        <v>36152136</v>
      </c>
      <c r="C1176" s="2" t="str">
        <f>"김희선"</f>
        <v>김희선</v>
      </c>
      <c r="D1176" s="2" t="str">
        <f>"F"</f>
        <v>F</v>
      </c>
      <c r="E1176" s="2" t="str">
        <f>"19981006"</f>
        <v>19981006</v>
      </c>
      <c r="F1176" s="2" t="str">
        <f>"26"</f>
        <v>26</v>
      </c>
      <c r="G1176" s="2" t="str">
        <f t="shared" si="252"/>
        <v>E78660</v>
      </c>
      <c r="H1176" s="2" t="str">
        <f t="shared" si="253"/>
        <v>가톨릭대학교 서울성모병원</v>
      </c>
      <c r="I1176" s="2" t="str">
        <f t="shared" si="255"/>
        <v>특수</v>
      </c>
    </row>
    <row r="1177" spans="1:9" x14ac:dyDescent="0.3">
      <c r="A1177" s="2" t="str">
        <f t="shared" ref="A1177:A1189" si="256">"20250716"</f>
        <v>20250716</v>
      </c>
      <c r="B1177" s="2" t="str">
        <f>"19795704"</f>
        <v>19795704</v>
      </c>
      <c r="C1177" s="2" t="str">
        <f>"신종학"</f>
        <v>신종학</v>
      </c>
      <c r="D1177" s="2" t="str">
        <f>"M"</f>
        <v>M</v>
      </c>
      <c r="E1177" s="2" t="str">
        <f>"19851025"</f>
        <v>19851025</v>
      </c>
      <c r="F1177" s="2" t="str">
        <f>"39"</f>
        <v>39</v>
      </c>
      <c r="G1177" s="2" t="str">
        <f t="shared" si="252"/>
        <v>E78660</v>
      </c>
      <c r="H1177" s="2" t="str">
        <f t="shared" si="253"/>
        <v>가톨릭대학교 서울성모병원</v>
      </c>
      <c r="I1177" s="2" t="str">
        <f t="shared" si="255"/>
        <v>특수</v>
      </c>
    </row>
    <row r="1178" spans="1:9" x14ac:dyDescent="0.3">
      <c r="A1178" s="2" t="str">
        <f t="shared" si="256"/>
        <v>20250716</v>
      </c>
      <c r="B1178" s="2" t="str">
        <f>"21384134"</f>
        <v>21384134</v>
      </c>
      <c r="C1178" s="2" t="str">
        <f>"김은혜"</f>
        <v>김은혜</v>
      </c>
      <c r="D1178" s="2" t="str">
        <f>"F"</f>
        <v>F</v>
      </c>
      <c r="E1178" s="2" t="str">
        <f>"19831211"</f>
        <v>19831211</v>
      </c>
      <c r="F1178" s="2" t="str">
        <f>"41"</f>
        <v>41</v>
      </c>
      <c r="G1178" s="2" t="str">
        <f t="shared" si="252"/>
        <v>E78660</v>
      </c>
      <c r="H1178" s="2" t="str">
        <f t="shared" si="253"/>
        <v>가톨릭대학교 서울성모병원</v>
      </c>
      <c r="I1178" s="2" t="str">
        <f t="shared" si="255"/>
        <v>특수</v>
      </c>
    </row>
    <row r="1179" spans="1:9" x14ac:dyDescent="0.3">
      <c r="A1179" s="2" t="str">
        <f t="shared" si="256"/>
        <v>20250716</v>
      </c>
      <c r="B1179" s="2" t="str">
        <f>"22520671"</f>
        <v>22520671</v>
      </c>
      <c r="C1179" s="2" t="str">
        <f>"김태연"</f>
        <v>김태연</v>
      </c>
      <c r="D1179" s="2" t="str">
        <f>"F"</f>
        <v>F</v>
      </c>
      <c r="E1179" s="2" t="str">
        <f>"19861116"</f>
        <v>19861116</v>
      </c>
      <c r="F1179" s="2" t="str">
        <f>"38"</f>
        <v>38</v>
      </c>
      <c r="G1179" s="2" t="str">
        <f t="shared" si="252"/>
        <v>E78660</v>
      </c>
      <c r="H1179" s="2" t="str">
        <f t="shared" si="253"/>
        <v>가톨릭대학교 서울성모병원</v>
      </c>
      <c r="I1179" s="2" t="str">
        <f t="shared" si="255"/>
        <v>특수</v>
      </c>
    </row>
    <row r="1180" spans="1:9" x14ac:dyDescent="0.3">
      <c r="A1180" s="2" t="str">
        <f t="shared" si="256"/>
        <v>20250716</v>
      </c>
      <c r="B1180" s="2" t="str">
        <f>"23915936"</f>
        <v>23915936</v>
      </c>
      <c r="C1180" s="2" t="str">
        <f>"신재우"</f>
        <v>신재우</v>
      </c>
      <c r="D1180" s="2" t="str">
        <f>"M"</f>
        <v>M</v>
      </c>
      <c r="E1180" s="2" t="str">
        <f>"19710306"</f>
        <v>19710306</v>
      </c>
      <c r="F1180" s="2" t="str">
        <f>"54"</f>
        <v>54</v>
      </c>
      <c r="G1180" s="2" t="str">
        <f t="shared" si="252"/>
        <v>E78660</v>
      </c>
      <c r="H1180" s="2" t="str">
        <f t="shared" si="253"/>
        <v>가톨릭대학교 서울성모병원</v>
      </c>
      <c r="I1180" s="2" t="str">
        <f t="shared" si="255"/>
        <v>특수</v>
      </c>
    </row>
    <row r="1181" spans="1:9" x14ac:dyDescent="0.3">
      <c r="A1181" s="2" t="str">
        <f t="shared" si="256"/>
        <v>20250716</v>
      </c>
      <c r="B1181" s="2" t="str">
        <f>"32697804"</f>
        <v>32697804</v>
      </c>
      <c r="C1181" s="2" t="str">
        <f>"이수진"</f>
        <v>이수진</v>
      </c>
      <c r="D1181" s="2" t="str">
        <f>"F"</f>
        <v>F</v>
      </c>
      <c r="E1181" s="2" t="str">
        <f>"19961027"</f>
        <v>19961027</v>
      </c>
      <c r="F1181" s="2" t="str">
        <f>"28"</f>
        <v>28</v>
      </c>
      <c r="G1181" s="2" t="str">
        <f t="shared" si="252"/>
        <v>E78660</v>
      </c>
      <c r="H1181" s="2" t="str">
        <f t="shared" si="253"/>
        <v>가톨릭대학교 서울성모병원</v>
      </c>
      <c r="I1181" s="2" t="str">
        <f t="shared" si="255"/>
        <v>특수</v>
      </c>
    </row>
    <row r="1182" spans="1:9" x14ac:dyDescent="0.3">
      <c r="A1182" s="2" t="str">
        <f t="shared" si="256"/>
        <v>20250716</v>
      </c>
      <c r="B1182" s="2" t="str">
        <f>"33436331"</f>
        <v>33436331</v>
      </c>
      <c r="C1182" s="2" t="str">
        <f>"오왕석"</f>
        <v>오왕석</v>
      </c>
      <c r="D1182" s="2" t="str">
        <f>"M"</f>
        <v>M</v>
      </c>
      <c r="E1182" s="2" t="str">
        <f>"19910904"</f>
        <v>19910904</v>
      </c>
      <c r="F1182" s="2" t="str">
        <f>"33"</f>
        <v>33</v>
      </c>
      <c r="G1182" s="2" t="str">
        <f t="shared" si="252"/>
        <v>E78660</v>
      </c>
      <c r="H1182" s="2" t="str">
        <f t="shared" si="253"/>
        <v>가톨릭대학교 서울성모병원</v>
      </c>
      <c r="I1182" s="2" t="str">
        <f t="shared" si="255"/>
        <v>특수</v>
      </c>
    </row>
    <row r="1183" spans="1:9" x14ac:dyDescent="0.3">
      <c r="A1183" s="2" t="str">
        <f t="shared" si="256"/>
        <v>20250716</v>
      </c>
      <c r="B1183" s="2" t="str">
        <f>"33447890"</f>
        <v>33447890</v>
      </c>
      <c r="C1183" s="2" t="str">
        <f>"김가영"</f>
        <v>김가영</v>
      </c>
      <c r="D1183" s="2" t="str">
        <f>"F"</f>
        <v>F</v>
      </c>
      <c r="E1183" s="2" t="str">
        <f>"20000831"</f>
        <v>20000831</v>
      </c>
      <c r="F1183" s="2" t="str">
        <f>"24"</f>
        <v>24</v>
      </c>
      <c r="G1183" s="2" t="str">
        <f t="shared" si="252"/>
        <v>E78660</v>
      </c>
      <c r="H1183" s="2" t="str">
        <f t="shared" si="253"/>
        <v>가톨릭대학교 서울성모병원</v>
      </c>
      <c r="I1183" s="2" t="str">
        <f t="shared" si="255"/>
        <v>특수</v>
      </c>
    </row>
    <row r="1184" spans="1:9" x14ac:dyDescent="0.3">
      <c r="A1184" s="2" t="str">
        <f t="shared" si="256"/>
        <v>20250716</v>
      </c>
      <c r="B1184" s="2" t="str">
        <f>"33448495"</f>
        <v>33448495</v>
      </c>
      <c r="C1184" s="2" t="str">
        <f>"최다현"</f>
        <v>최다현</v>
      </c>
      <c r="D1184" s="2" t="str">
        <f>"F"</f>
        <v>F</v>
      </c>
      <c r="E1184" s="2" t="str">
        <f>"20000301"</f>
        <v>20000301</v>
      </c>
      <c r="F1184" s="2" t="str">
        <f>"25"</f>
        <v>25</v>
      </c>
      <c r="G1184" s="2" t="str">
        <f t="shared" si="252"/>
        <v>E78660</v>
      </c>
      <c r="H1184" s="2" t="str">
        <f t="shared" si="253"/>
        <v>가톨릭대학교 서울성모병원</v>
      </c>
      <c r="I1184" s="2" t="str">
        <f t="shared" si="255"/>
        <v>특수</v>
      </c>
    </row>
    <row r="1185" spans="1:9" x14ac:dyDescent="0.3">
      <c r="A1185" s="2" t="str">
        <f t="shared" si="256"/>
        <v>20250716</v>
      </c>
      <c r="B1185" s="2" t="str">
        <f>"34732861"</f>
        <v>34732861</v>
      </c>
      <c r="C1185" s="2" t="str">
        <f>"박완식"</f>
        <v>박완식</v>
      </c>
      <c r="D1185" s="2" t="str">
        <f>"M"</f>
        <v>M</v>
      </c>
      <c r="E1185" s="2" t="str">
        <f>"19941205"</f>
        <v>19941205</v>
      </c>
      <c r="F1185" s="2" t="str">
        <f>"30"</f>
        <v>30</v>
      </c>
      <c r="G1185" s="2" t="str">
        <f t="shared" si="252"/>
        <v>E78660</v>
      </c>
      <c r="H1185" s="2" t="str">
        <f t="shared" si="253"/>
        <v>가톨릭대학교 서울성모병원</v>
      </c>
      <c r="I1185" s="2" t="str">
        <f>"배치후"</f>
        <v>배치후</v>
      </c>
    </row>
    <row r="1186" spans="1:9" x14ac:dyDescent="0.3">
      <c r="A1186" s="2" t="str">
        <f t="shared" si="256"/>
        <v>20250716</v>
      </c>
      <c r="B1186" s="2" t="str">
        <f>"35373503"</f>
        <v>35373503</v>
      </c>
      <c r="C1186" s="2" t="str">
        <f>"강민욱"</f>
        <v>강민욱</v>
      </c>
      <c r="D1186" s="2" t="str">
        <f>"M"</f>
        <v>M</v>
      </c>
      <c r="E1186" s="2" t="str">
        <f>"19900525"</f>
        <v>19900525</v>
      </c>
      <c r="F1186" s="2" t="str">
        <f>"35"</f>
        <v>35</v>
      </c>
      <c r="G1186" s="2" t="str">
        <f t="shared" si="252"/>
        <v>E78660</v>
      </c>
      <c r="H1186" s="2" t="str">
        <f t="shared" si="253"/>
        <v>가톨릭대학교 서울성모병원</v>
      </c>
      <c r="I1186" s="2" t="str">
        <f t="shared" ref="I1186:I1191" si="257">"특수"</f>
        <v>특수</v>
      </c>
    </row>
    <row r="1187" spans="1:9" x14ac:dyDescent="0.3">
      <c r="A1187" s="2" t="str">
        <f t="shared" si="256"/>
        <v>20250716</v>
      </c>
      <c r="B1187" s="2" t="str">
        <f>"39858821"</f>
        <v>39858821</v>
      </c>
      <c r="C1187" s="2" t="str">
        <f>"정혜령"</f>
        <v>정혜령</v>
      </c>
      <c r="D1187" s="2" t="str">
        <f t="shared" ref="D1187:D1197" si="258">"F"</f>
        <v>F</v>
      </c>
      <c r="E1187" s="2" t="str">
        <f>"20001205"</f>
        <v>20001205</v>
      </c>
      <c r="F1187" s="2" t="str">
        <f>"24"</f>
        <v>24</v>
      </c>
      <c r="G1187" s="2" t="str">
        <f t="shared" si="252"/>
        <v>E78660</v>
      </c>
      <c r="H1187" s="2" t="str">
        <f t="shared" si="253"/>
        <v>가톨릭대학교 서울성모병원</v>
      </c>
      <c r="I1187" s="2" t="str">
        <f t="shared" si="257"/>
        <v>특수</v>
      </c>
    </row>
    <row r="1188" spans="1:9" x14ac:dyDescent="0.3">
      <c r="A1188" s="2" t="str">
        <f t="shared" si="256"/>
        <v>20250716</v>
      </c>
      <c r="B1188" s="2" t="str">
        <f>"8281015"</f>
        <v>8281015</v>
      </c>
      <c r="C1188" s="2" t="str">
        <f>"김춘란"</f>
        <v>김춘란</v>
      </c>
      <c r="D1188" s="2" t="str">
        <f t="shared" si="258"/>
        <v>F</v>
      </c>
      <c r="E1188" s="2" t="str">
        <f>"19890502"</f>
        <v>19890502</v>
      </c>
      <c r="F1188" s="2" t="str">
        <f>"36"</f>
        <v>36</v>
      </c>
      <c r="G1188" s="2" t="str">
        <f t="shared" si="252"/>
        <v>E78660</v>
      </c>
      <c r="H1188" s="2" t="str">
        <f t="shared" si="253"/>
        <v>가톨릭대학교 서울성모병원</v>
      </c>
      <c r="I1188" s="2" t="str">
        <f t="shared" si="257"/>
        <v>특수</v>
      </c>
    </row>
    <row r="1189" spans="1:9" x14ac:dyDescent="0.3">
      <c r="A1189" s="2" t="str">
        <f t="shared" si="256"/>
        <v>20250716</v>
      </c>
      <c r="B1189" s="2" t="str">
        <f>"9444385"</f>
        <v>9444385</v>
      </c>
      <c r="C1189" s="2" t="str">
        <f>"심후남"</f>
        <v>심후남</v>
      </c>
      <c r="D1189" s="2" t="str">
        <f t="shared" si="258"/>
        <v>F</v>
      </c>
      <c r="E1189" s="2" t="str">
        <f>"19740610"</f>
        <v>19740610</v>
      </c>
      <c r="F1189" s="2" t="str">
        <f>"51"</f>
        <v>51</v>
      </c>
      <c r="G1189" s="2" t="str">
        <f t="shared" si="252"/>
        <v>E78660</v>
      </c>
      <c r="H1189" s="2" t="str">
        <f t="shared" si="253"/>
        <v>가톨릭대학교 서울성모병원</v>
      </c>
      <c r="I1189" s="2" t="str">
        <f t="shared" si="257"/>
        <v>특수</v>
      </c>
    </row>
    <row r="1190" spans="1:9" x14ac:dyDescent="0.3">
      <c r="A1190" s="2" t="str">
        <f t="shared" ref="A1190:A1195" si="259">"20250717"</f>
        <v>20250717</v>
      </c>
      <c r="B1190" s="2" t="str">
        <f>"19595344"</f>
        <v>19595344</v>
      </c>
      <c r="C1190" s="2" t="str">
        <f>"정혜연"</f>
        <v>정혜연</v>
      </c>
      <c r="D1190" s="2" t="str">
        <f t="shared" si="258"/>
        <v>F</v>
      </c>
      <c r="E1190" s="2" t="str">
        <f>"19860204"</f>
        <v>19860204</v>
      </c>
      <c r="F1190" s="2" t="str">
        <f>"39"</f>
        <v>39</v>
      </c>
      <c r="G1190" s="2" t="str">
        <f t="shared" si="252"/>
        <v>E78660</v>
      </c>
      <c r="H1190" s="2" t="str">
        <f t="shared" si="253"/>
        <v>가톨릭대학교 서울성모병원</v>
      </c>
      <c r="I1190" s="2" t="str">
        <f t="shared" si="257"/>
        <v>특수</v>
      </c>
    </row>
    <row r="1191" spans="1:9" x14ac:dyDescent="0.3">
      <c r="A1191" s="2" t="str">
        <f t="shared" si="259"/>
        <v>20250717</v>
      </c>
      <c r="B1191" s="2" t="str">
        <f>"19795751"</f>
        <v>19795751</v>
      </c>
      <c r="C1191" s="2" t="str">
        <f>"유경원"</f>
        <v>유경원</v>
      </c>
      <c r="D1191" s="2" t="str">
        <f t="shared" si="258"/>
        <v>F</v>
      </c>
      <c r="E1191" s="2" t="str">
        <f>"19850222"</f>
        <v>19850222</v>
      </c>
      <c r="F1191" s="2" t="str">
        <f>"40"</f>
        <v>40</v>
      </c>
      <c r="G1191" s="2" t="str">
        <f t="shared" si="252"/>
        <v>E78660</v>
      </c>
      <c r="H1191" s="2" t="str">
        <f t="shared" si="253"/>
        <v>가톨릭대학교 서울성모병원</v>
      </c>
      <c r="I1191" s="2" t="str">
        <f t="shared" si="257"/>
        <v>특수</v>
      </c>
    </row>
    <row r="1192" spans="1:9" x14ac:dyDescent="0.3">
      <c r="A1192" s="2" t="str">
        <f t="shared" si="259"/>
        <v>20250717</v>
      </c>
      <c r="B1192" s="2" t="str">
        <f>"35237444"</f>
        <v>35237444</v>
      </c>
      <c r="C1192" s="2" t="str">
        <f>"김지연"</f>
        <v>김지연</v>
      </c>
      <c r="D1192" s="2" t="str">
        <f t="shared" si="258"/>
        <v>F</v>
      </c>
      <c r="E1192" s="2" t="str">
        <f>"19940623"</f>
        <v>19940623</v>
      </c>
      <c r="F1192" s="2" t="str">
        <f>"31"</f>
        <v>31</v>
      </c>
      <c r="G1192" s="2" t="str">
        <f t="shared" si="252"/>
        <v>E78660</v>
      </c>
      <c r="H1192" s="2" t="str">
        <f t="shared" si="253"/>
        <v>가톨릭대학교 서울성모병원</v>
      </c>
      <c r="I1192" s="2" t="str">
        <f>"배치전"</f>
        <v>배치전</v>
      </c>
    </row>
    <row r="1193" spans="1:9" x14ac:dyDescent="0.3">
      <c r="A1193" s="2" t="str">
        <f t="shared" si="259"/>
        <v>20250717</v>
      </c>
      <c r="B1193" s="2" t="str">
        <f>"36184514"</f>
        <v>36184514</v>
      </c>
      <c r="C1193" s="2" t="str">
        <f>"옥보라"</f>
        <v>옥보라</v>
      </c>
      <c r="D1193" s="2" t="str">
        <f t="shared" si="258"/>
        <v>F</v>
      </c>
      <c r="E1193" s="2" t="str">
        <f>"19960809"</f>
        <v>19960809</v>
      </c>
      <c r="F1193" s="2" t="str">
        <f>"28"</f>
        <v>28</v>
      </c>
      <c r="G1193" s="2" t="str">
        <f t="shared" si="252"/>
        <v>E78660</v>
      </c>
      <c r="H1193" s="2" t="str">
        <f t="shared" si="253"/>
        <v>가톨릭대학교 서울성모병원</v>
      </c>
      <c r="I1193" s="2" t="str">
        <f t="shared" ref="I1193:I1207" si="260">"특수"</f>
        <v>특수</v>
      </c>
    </row>
    <row r="1194" spans="1:9" x14ac:dyDescent="0.3">
      <c r="A1194" s="2" t="str">
        <f t="shared" si="259"/>
        <v>20250717</v>
      </c>
      <c r="B1194" s="2" t="str">
        <f>"37542996"</f>
        <v>37542996</v>
      </c>
      <c r="C1194" s="2" t="str">
        <f>"최재화"</f>
        <v>최재화</v>
      </c>
      <c r="D1194" s="2" t="str">
        <f t="shared" si="258"/>
        <v>F</v>
      </c>
      <c r="E1194" s="2" t="str">
        <f>"19970625"</f>
        <v>19970625</v>
      </c>
      <c r="F1194" s="2" t="str">
        <f>"28"</f>
        <v>28</v>
      </c>
      <c r="G1194" s="2" t="str">
        <f t="shared" si="252"/>
        <v>E78660</v>
      </c>
      <c r="H1194" s="2" t="str">
        <f t="shared" si="253"/>
        <v>가톨릭대학교 서울성모병원</v>
      </c>
      <c r="I1194" s="2" t="str">
        <f t="shared" si="260"/>
        <v>특수</v>
      </c>
    </row>
    <row r="1195" spans="1:9" x14ac:dyDescent="0.3">
      <c r="A1195" s="2" t="str">
        <f t="shared" si="259"/>
        <v>20250717</v>
      </c>
      <c r="B1195" s="2" t="str">
        <f>"38512592"</f>
        <v>38512592</v>
      </c>
      <c r="C1195" s="2" t="str">
        <f>"송승미"</f>
        <v>송승미</v>
      </c>
      <c r="D1195" s="2" t="str">
        <f t="shared" si="258"/>
        <v>F</v>
      </c>
      <c r="E1195" s="2" t="str">
        <f>"20000423"</f>
        <v>20000423</v>
      </c>
      <c r="F1195" s="2" t="str">
        <f>"25"</f>
        <v>25</v>
      </c>
      <c r="G1195" s="2" t="str">
        <f t="shared" si="252"/>
        <v>E78660</v>
      </c>
      <c r="H1195" s="2" t="str">
        <f t="shared" si="253"/>
        <v>가톨릭대학교 서울성모병원</v>
      </c>
      <c r="I1195" s="2" t="str">
        <f t="shared" si="260"/>
        <v>특수</v>
      </c>
    </row>
    <row r="1196" spans="1:9" x14ac:dyDescent="0.3">
      <c r="A1196" s="2" t="str">
        <f t="shared" ref="A1196:A1208" si="261">"20250721"</f>
        <v>20250721</v>
      </c>
      <c r="B1196" s="2" t="str">
        <f>"11060830"</f>
        <v>11060830</v>
      </c>
      <c r="C1196" s="2" t="str">
        <f>"지윤희"</f>
        <v>지윤희</v>
      </c>
      <c r="D1196" s="2" t="str">
        <f t="shared" si="258"/>
        <v>F</v>
      </c>
      <c r="E1196" s="2" t="str">
        <f>"19790213"</f>
        <v>19790213</v>
      </c>
      <c r="F1196" s="2" t="str">
        <f>"46"</f>
        <v>46</v>
      </c>
      <c r="G1196" s="2" t="str">
        <f t="shared" si="252"/>
        <v>E78660</v>
      </c>
      <c r="H1196" s="2" t="str">
        <f t="shared" si="253"/>
        <v>가톨릭대학교 서울성모병원</v>
      </c>
      <c r="I1196" s="2" t="str">
        <f t="shared" si="260"/>
        <v>특수</v>
      </c>
    </row>
    <row r="1197" spans="1:9" x14ac:dyDescent="0.3">
      <c r="A1197" s="2" t="str">
        <f t="shared" si="261"/>
        <v>20250721</v>
      </c>
      <c r="B1197" s="2" t="str">
        <f>"12126570"</f>
        <v>12126570</v>
      </c>
      <c r="C1197" s="2" t="str">
        <f>"김보경"</f>
        <v>김보경</v>
      </c>
      <c r="D1197" s="2" t="str">
        <f t="shared" si="258"/>
        <v>F</v>
      </c>
      <c r="E1197" s="2" t="str">
        <f>"19780730"</f>
        <v>19780730</v>
      </c>
      <c r="F1197" s="2" t="str">
        <f>"47"</f>
        <v>47</v>
      </c>
      <c r="G1197" s="2" t="str">
        <f t="shared" si="252"/>
        <v>E78660</v>
      </c>
      <c r="H1197" s="2" t="str">
        <f t="shared" si="253"/>
        <v>가톨릭대학교 서울성모병원</v>
      </c>
      <c r="I1197" s="2" t="str">
        <f t="shared" si="260"/>
        <v>특수</v>
      </c>
    </row>
    <row r="1198" spans="1:9" x14ac:dyDescent="0.3">
      <c r="A1198" s="2" t="str">
        <f t="shared" si="261"/>
        <v>20250721</v>
      </c>
      <c r="B1198" s="2" t="str">
        <f>"13899069"</f>
        <v>13899069</v>
      </c>
      <c r="C1198" s="2" t="str">
        <f>"김인섭"</f>
        <v>김인섭</v>
      </c>
      <c r="D1198" s="2" t="str">
        <f>"M"</f>
        <v>M</v>
      </c>
      <c r="E1198" s="2" t="str">
        <f>"19731120"</f>
        <v>19731120</v>
      </c>
      <c r="F1198" s="2" t="str">
        <f>"51"</f>
        <v>51</v>
      </c>
      <c r="G1198" s="2" t="str">
        <f t="shared" si="252"/>
        <v>E78660</v>
      </c>
      <c r="H1198" s="2" t="str">
        <f t="shared" si="253"/>
        <v>가톨릭대학교 서울성모병원</v>
      </c>
      <c r="I1198" s="2" t="str">
        <f t="shared" si="260"/>
        <v>특수</v>
      </c>
    </row>
    <row r="1199" spans="1:9" x14ac:dyDescent="0.3">
      <c r="A1199" s="2" t="str">
        <f t="shared" si="261"/>
        <v>20250721</v>
      </c>
      <c r="B1199" s="2" t="str">
        <f>"18818840"</f>
        <v>18818840</v>
      </c>
      <c r="C1199" s="2" t="str">
        <f>"유영진"</f>
        <v>유영진</v>
      </c>
      <c r="D1199" s="2" t="str">
        <f>"M"</f>
        <v>M</v>
      </c>
      <c r="E1199" s="2" t="str">
        <f>"19801226"</f>
        <v>19801226</v>
      </c>
      <c r="F1199" s="2" t="str">
        <f>"44"</f>
        <v>44</v>
      </c>
      <c r="G1199" s="2" t="str">
        <f t="shared" si="252"/>
        <v>E78660</v>
      </c>
      <c r="H1199" s="2" t="str">
        <f t="shared" si="253"/>
        <v>가톨릭대학교 서울성모병원</v>
      </c>
      <c r="I1199" s="2" t="str">
        <f t="shared" si="260"/>
        <v>특수</v>
      </c>
    </row>
    <row r="1200" spans="1:9" x14ac:dyDescent="0.3">
      <c r="A1200" s="2" t="str">
        <f t="shared" si="261"/>
        <v>20250721</v>
      </c>
      <c r="B1200" s="2" t="str">
        <f>"19200169"</f>
        <v>19200169</v>
      </c>
      <c r="C1200" s="2" t="str">
        <f>"이동기"</f>
        <v>이동기</v>
      </c>
      <c r="D1200" s="2" t="str">
        <f>"M"</f>
        <v>M</v>
      </c>
      <c r="E1200" s="2" t="str">
        <f>"19791224"</f>
        <v>19791224</v>
      </c>
      <c r="F1200" s="2" t="str">
        <f>"45"</f>
        <v>45</v>
      </c>
      <c r="G1200" s="2" t="str">
        <f t="shared" si="252"/>
        <v>E78660</v>
      </c>
      <c r="H1200" s="2" t="str">
        <f t="shared" si="253"/>
        <v>가톨릭대학교 서울성모병원</v>
      </c>
      <c r="I1200" s="2" t="str">
        <f t="shared" si="260"/>
        <v>특수</v>
      </c>
    </row>
    <row r="1201" spans="1:9" x14ac:dyDescent="0.3">
      <c r="A1201" s="2" t="str">
        <f t="shared" si="261"/>
        <v>20250721</v>
      </c>
      <c r="B1201" s="2" t="str">
        <f>"19855236"</f>
        <v>19855236</v>
      </c>
      <c r="C1201" s="2" t="str">
        <f>"유재빈"</f>
        <v>유재빈</v>
      </c>
      <c r="D1201" s="2" t="str">
        <f>"M"</f>
        <v>M</v>
      </c>
      <c r="E1201" s="2" t="str">
        <f>"19660715"</f>
        <v>19660715</v>
      </c>
      <c r="F1201" s="2" t="str">
        <f>"59"</f>
        <v>59</v>
      </c>
      <c r="G1201" s="2" t="str">
        <f t="shared" si="252"/>
        <v>E78660</v>
      </c>
      <c r="H1201" s="2" t="str">
        <f t="shared" si="253"/>
        <v>가톨릭대학교 서울성모병원</v>
      </c>
      <c r="I1201" s="2" t="str">
        <f t="shared" si="260"/>
        <v>특수</v>
      </c>
    </row>
    <row r="1202" spans="1:9" x14ac:dyDescent="0.3">
      <c r="A1202" s="2" t="str">
        <f t="shared" si="261"/>
        <v>20250721</v>
      </c>
      <c r="B1202" s="2" t="str">
        <f>"30795934"</f>
        <v>30795934</v>
      </c>
      <c r="C1202" s="2" t="str">
        <f>"정연진"</f>
        <v>정연진</v>
      </c>
      <c r="D1202" s="2" t="str">
        <f t="shared" ref="D1202:D1209" si="262">"F"</f>
        <v>F</v>
      </c>
      <c r="E1202" s="2" t="str">
        <f>"19960615"</f>
        <v>19960615</v>
      </c>
      <c r="F1202" s="2" t="str">
        <f>"29"</f>
        <v>29</v>
      </c>
      <c r="G1202" s="2" t="str">
        <f t="shared" si="252"/>
        <v>E78660</v>
      </c>
      <c r="H1202" s="2" t="str">
        <f t="shared" si="253"/>
        <v>가톨릭대학교 서울성모병원</v>
      </c>
      <c r="I1202" s="2" t="str">
        <f t="shared" si="260"/>
        <v>특수</v>
      </c>
    </row>
    <row r="1203" spans="1:9" x14ac:dyDescent="0.3">
      <c r="A1203" s="2" t="str">
        <f t="shared" si="261"/>
        <v>20250721</v>
      </c>
      <c r="B1203" s="2" t="str">
        <f>"32797933"</f>
        <v>32797933</v>
      </c>
      <c r="C1203" s="2" t="str">
        <f>"최희정"</f>
        <v>최희정</v>
      </c>
      <c r="D1203" s="2" t="str">
        <f t="shared" si="262"/>
        <v>F</v>
      </c>
      <c r="E1203" s="2" t="str">
        <f>"19930729"</f>
        <v>19930729</v>
      </c>
      <c r="F1203" s="2" t="str">
        <f>"32"</f>
        <v>32</v>
      </c>
      <c r="G1203" s="2" t="str">
        <f t="shared" si="252"/>
        <v>E78660</v>
      </c>
      <c r="H1203" s="2" t="str">
        <f t="shared" si="253"/>
        <v>가톨릭대학교 서울성모병원</v>
      </c>
      <c r="I1203" s="2" t="str">
        <f t="shared" si="260"/>
        <v>특수</v>
      </c>
    </row>
    <row r="1204" spans="1:9" x14ac:dyDescent="0.3">
      <c r="A1204" s="2" t="str">
        <f t="shared" si="261"/>
        <v>20250721</v>
      </c>
      <c r="B1204" s="2" t="str">
        <f>"34708516"</f>
        <v>34708516</v>
      </c>
      <c r="C1204" s="2" t="str">
        <f>"김혜림"</f>
        <v>김혜림</v>
      </c>
      <c r="D1204" s="2" t="str">
        <f t="shared" si="262"/>
        <v>F</v>
      </c>
      <c r="E1204" s="2" t="str">
        <f>"19930407"</f>
        <v>19930407</v>
      </c>
      <c r="F1204" s="2" t="str">
        <f>"32"</f>
        <v>32</v>
      </c>
      <c r="G1204" s="2" t="str">
        <f t="shared" si="252"/>
        <v>E78660</v>
      </c>
      <c r="H1204" s="2" t="str">
        <f t="shared" si="253"/>
        <v>가톨릭대학교 서울성모병원</v>
      </c>
      <c r="I1204" s="2" t="str">
        <f t="shared" si="260"/>
        <v>특수</v>
      </c>
    </row>
    <row r="1205" spans="1:9" x14ac:dyDescent="0.3">
      <c r="A1205" s="2" t="str">
        <f t="shared" si="261"/>
        <v>20250721</v>
      </c>
      <c r="B1205" s="2" t="str">
        <f>"38351562"</f>
        <v>38351562</v>
      </c>
      <c r="C1205" s="2" t="str">
        <f>"김민주"</f>
        <v>김민주</v>
      </c>
      <c r="D1205" s="2" t="str">
        <f t="shared" si="262"/>
        <v>F</v>
      </c>
      <c r="E1205" s="2" t="str">
        <f>"19950903"</f>
        <v>19950903</v>
      </c>
      <c r="F1205" s="2" t="str">
        <f>"29"</f>
        <v>29</v>
      </c>
      <c r="G1205" s="2" t="str">
        <f t="shared" si="252"/>
        <v>E78660</v>
      </c>
      <c r="H1205" s="2" t="str">
        <f t="shared" si="253"/>
        <v>가톨릭대학교 서울성모병원</v>
      </c>
      <c r="I1205" s="2" t="str">
        <f t="shared" si="260"/>
        <v>특수</v>
      </c>
    </row>
    <row r="1206" spans="1:9" x14ac:dyDescent="0.3">
      <c r="A1206" s="2" t="str">
        <f t="shared" si="261"/>
        <v>20250721</v>
      </c>
      <c r="B1206" s="2" t="str">
        <f>"38425653"</f>
        <v>38425653</v>
      </c>
      <c r="C1206" s="2" t="str">
        <f>"김경덕"</f>
        <v>김경덕</v>
      </c>
      <c r="D1206" s="2" t="str">
        <f t="shared" si="262"/>
        <v>F</v>
      </c>
      <c r="E1206" s="2" t="str">
        <f>"20000904"</f>
        <v>20000904</v>
      </c>
      <c r="F1206" s="2" t="str">
        <f>"24"</f>
        <v>24</v>
      </c>
      <c r="G1206" s="2" t="str">
        <f t="shared" si="252"/>
        <v>E78660</v>
      </c>
      <c r="H1206" s="2" t="str">
        <f t="shared" si="253"/>
        <v>가톨릭대학교 서울성모병원</v>
      </c>
      <c r="I1206" s="2" t="str">
        <f t="shared" si="260"/>
        <v>특수</v>
      </c>
    </row>
    <row r="1207" spans="1:9" x14ac:dyDescent="0.3">
      <c r="A1207" s="2" t="str">
        <f t="shared" si="261"/>
        <v>20250721</v>
      </c>
      <c r="B1207" s="2" t="str">
        <f>"39688721"</f>
        <v>39688721</v>
      </c>
      <c r="C1207" s="2" t="str">
        <f>"박영진"</f>
        <v>박영진</v>
      </c>
      <c r="D1207" s="2" t="str">
        <f t="shared" si="262"/>
        <v>F</v>
      </c>
      <c r="E1207" s="2" t="str">
        <f>"19990905"</f>
        <v>19990905</v>
      </c>
      <c r="F1207" s="2" t="str">
        <f>"25"</f>
        <v>25</v>
      </c>
      <c r="G1207" s="2" t="str">
        <f t="shared" si="252"/>
        <v>E78660</v>
      </c>
      <c r="H1207" s="2" t="str">
        <f t="shared" si="253"/>
        <v>가톨릭대학교 서울성모병원</v>
      </c>
      <c r="I1207" s="2" t="str">
        <f t="shared" si="260"/>
        <v>특수</v>
      </c>
    </row>
    <row r="1208" spans="1:9" x14ac:dyDescent="0.3">
      <c r="A1208" s="2" t="str">
        <f t="shared" si="261"/>
        <v>20250721</v>
      </c>
      <c r="B1208" s="2" t="str">
        <f>"40517725"</f>
        <v>40517725</v>
      </c>
      <c r="C1208" s="2" t="str">
        <f>"박수진"</f>
        <v>박수진</v>
      </c>
      <c r="D1208" s="2" t="str">
        <f t="shared" si="262"/>
        <v>F</v>
      </c>
      <c r="E1208" s="2" t="str">
        <f>"19971216"</f>
        <v>19971216</v>
      </c>
      <c r="F1208" s="2" t="str">
        <f>"27"</f>
        <v>27</v>
      </c>
      <c r="G1208" s="2" t="str">
        <f t="shared" si="252"/>
        <v>E78660</v>
      </c>
      <c r="H1208" s="2" t="str">
        <f t="shared" si="253"/>
        <v>가톨릭대학교 서울성모병원</v>
      </c>
      <c r="I1208" s="2" t="str">
        <f>"배치후"</f>
        <v>배치후</v>
      </c>
    </row>
    <row r="1209" spans="1:9" x14ac:dyDescent="0.3">
      <c r="A1209" s="2" t="str">
        <f>"20250722"</f>
        <v>20250722</v>
      </c>
      <c r="B1209" s="2" t="str">
        <f>"16406259"</f>
        <v>16406259</v>
      </c>
      <c r="C1209" s="2" t="str">
        <f>"김희주"</f>
        <v>김희주</v>
      </c>
      <c r="D1209" s="2" t="str">
        <f t="shared" si="262"/>
        <v>F</v>
      </c>
      <c r="E1209" s="2" t="str">
        <f>"19790618"</f>
        <v>19790618</v>
      </c>
      <c r="F1209" s="2" t="str">
        <f>"46"</f>
        <v>46</v>
      </c>
      <c r="G1209" s="2" t="str">
        <f t="shared" si="252"/>
        <v>E78660</v>
      </c>
      <c r="H1209" s="2" t="str">
        <f t="shared" si="253"/>
        <v>가톨릭대학교 서울성모병원</v>
      </c>
      <c r="I1209" s="2" t="str">
        <f>"특수"</f>
        <v>특수</v>
      </c>
    </row>
    <row r="1210" spans="1:9" x14ac:dyDescent="0.3">
      <c r="A1210" s="2" t="str">
        <f>"20250722"</f>
        <v>20250722</v>
      </c>
      <c r="B1210" s="2" t="str">
        <f>"36508404"</f>
        <v>36508404</v>
      </c>
      <c r="C1210" s="2" t="str">
        <f>"김영찬"</f>
        <v>김영찬</v>
      </c>
      <c r="D1210" s="2" t="str">
        <f>"M"</f>
        <v>M</v>
      </c>
      <c r="E1210" s="2" t="str">
        <f>"19940409"</f>
        <v>19940409</v>
      </c>
      <c r="F1210" s="2" t="str">
        <f>"31"</f>
        <v>31</v>
      </c>
      <c r="G1210" s="2" t="str">
        <f t="shared" si="252"/>
        <v>E78660</v>
      </c>
      <c r="H1210" s="2" t="str">
        <f t="shared" si="253"/>
        <v>가톨릭대학교 서울성모병원</v>
      </c>
      <c r="I1210" s="2" t="str">
        <f>"배치전"</f>
        <v>배치전</v>
      </c>
    </row>
    <row r="1211" spans="1:9" x14ac:dyDescent="0.3">
      <c r="A1211" s="2" t="str">
        <f>"20250722"</f>
        <v>20250722</v>
      </c>
      <c r="B1211" s="2" t="str">
        <f>"40187325"</f>
        <v>40187325</v>
      </c>
      <c r="C1211" s="2" t="str">
        <f>"황현정"</f>
        <v>황현정</v>
      </c>
      <c r="D1211" s="2" t="str">
        <f>"F"</f>
        <v>F</v>
      </c>
      <c r="E1211" s="2" t="str">
        <f>"20000814"</f>
        <v>20000814</v>
      </c>
      <c r="F1211" s="2" t="str">
        <f>"24"</f>
        <v>24</v>
      </c>
      <c r="G1211" s="2" t="str">
        <f t="shared" si="252"/>
        <v>E78660</v>
      </c>
      <c r="H1211" s="2" t="str">
        <f t="shared" si="253"/>
        <v>가톨릭대학교 서울성모병원</v>
      </c>
      <c r="I1211" s="2" t="str">
        <f>"배치전"</f>
        <v>배치전</v>
      </c>
    </row>
    <row r="1212" spans="1:9" x14ac:dyDescent="0.3">
      <c r="A1212" s="2" t="str">
        <f>"20250722"</f>
        <v>20250722</v>
      </c>
      <c r="B1212" s="2" t="str">
        <f>"41123544"</f>
        <v>41123544</v>
      </c>
      <c r="C1212" s="2" t="str">
        <f>"홍세미"</f>
        <v>홍세미</v>
      </c>
      <c r="D1212" s="2" t="str">
        <f>"F"</f>
        <v>F</v>
      </c>
      <c r="E1212" s="2" t="str">
        <f>"20000729"</f>
        <v>20000729</v>
      </c>
      <c r="F1212" s="2" t="str">
        <f>"24"</f>
        <v>24</v>
      </c>
      <c r="G1212" s="2" t="str">
        <f t="shared" si="252"/>
        <v>E78660</v>
      </c>
      <c r="H1212" s="2" t="str">
        <f t="shared" si="253"/>
        <v>가톨릭대학교 서울성모병원</v>
      </c>
      <c r="I1212" s="2" t="str">
        <f>"배치전"</f>
        <v>배치전</v>
      </c>
    </row>
    <row r="1213" spans="1:9" x14ac:dyDescent="0.3">
      <c r="A1213" s="2" t="str">
        <f>"20250722"</f>
        <v>20250722</v>
      </c>
      <c r="B1213" s="2" t="str">
        <f>"41135033"</f>
        <v>41135033</v>
      </c>
      <c r="C1213" s="2" t="str">
        <f>"전승민"</f>
        <v>전승민</v>
      </c>
      <c r="D1213" s="2" t="str">
        <f>"M"</f>
        <v>M</v>
      </c>
      <c r="E1213" s="2" t="str">
        <f>"20010120"</f>
        <v>20010120</v>
      </c>
      <c r="F1213" s="2" t="str">
        <f>"24"</f>
        <v>24</v>
      </c>
      <c r="G1213" s="2" t="str">
        <f t="shared" si="252"/>
        <v>E78660</v>
      </c>
      <c r="H1213" s="2" t="str">
        <f t="shared" si="253"/>
        <v>가톨릭대학교 서울성모병원</v>
      </c>
      <c r="I1213" s="2" t="str">
        <f>"배치전"</f>
        <v>배치전</v>
      </c>
    </row>
    <row r="1214" spans="1:9" x14ac:dyDescent="0.3">
      <c r="A1214" s="2" t="str">
        <f t="shared" ref="A1214:A1225" si="263">"20250723"</f>
        <v>20250723</v>
      </c>
      <c r="B1214" s="2" t="str">
        <f>"12118460"</f>
        <v>12118460</v>
      </c>
      <c r="C1214" s="2" t="str">
        <f>"한수민"</f>
        <v>한수민</v>
      </c>
      <c r="D1214" s="2" t="str">
        <f>"F"</f>
        <v>F</v>
      </c>
      <c r="E1214" s="2" t="str">
        <f>"19970817"</f>
        <v>19970817</v>
      </c>
      <c r="F1214" s="2" t="str">
        <f>"27"</f>
        <v>27</v>
      </c>
      <c r="G1214" s="2" t="str">
        <f t="shared" si="252"/>
        <v>E78660</v>
      </c>
      <c r="H1214" s="2" t="str">
        <f t="shared" si="253"/>
        <v>가톨릭대학교 서울성모병원</v>
      </c>
      <c r="I1214" s="2" t="str">
        <f>"배치전"</f>
        <v>배치전</v>
      </c>
    </row>
    <row r="1215" spans="1:9" x14ac:dyDescent="0.3">
      <c r="A1215" s="2" t="str">
        <f t="shared" si="263"/>
        <v>20250723</v>
      </c>
      <c r="B1215" s="2" t="str">
        <f>"12561356"</f>
        <v>12561356</v>
      </c>
      <c r="C1215" s="2" t="str">
        <f>"이서아"</f>
        <v>이서아</v>
      </c>
      <c r="D1215" s="2" t="str">
        <f>"F"</f>
        <v>F</v>
      </c>
      <c r="E1215" s="2" t="str">
        <f>"19801106"</f>
        <v>19801106</v>
      </c>
      <c r="F1215" s="2" t="str">
        <f>"44"</f>
        <v>44</v>
      </c>
      <c r="G1215" s="2" t="str">
        <f t="shared" si="252"/>
        <v>E78660</v>
      </c>
      <c r="H1215" s="2" t="str">
        <f t="shared" si="253"/>
        <v>가톨릭대학교 서울성모병원</v>
      </c>
      <c r="I1215" s="2" t="str">
        <f>"특수"</f>
        <v>특수</v>
      </c>
    </row>
    <row r="1216" spans="1:9" x14ac:dyDescent="0.3">
      <c r="A1216" s="2" t="str">
        <f t="shared" si="263"/>
        <v>20250723</v>
      </c>
      <c r="B1216" s="2" t="str">
        <f>"19067200"</f>
        <v>19067200</v>
      </c>
      <c r="C1216" s="2" t="str">
        <f>"지동근"</f>
        <v>지동근</v>
      </c>
      <c r="D1216" s="2" t="str">
        <f>"M"</f>
        <v>M</v>
      </c>
      <c r="E1216" s="2" t="str">
        <f>"19700821"</f>
        <v>19700821</v>
      </c>
      <c r="F1216" s="2" t="str">
        <f>"54"</f>
        <v>54</v>
      </c>
      <c r="G1216" s="2" t="str">
        <f t="shared" si="252"/>
        <v>E78660</v>
      </c>
      <c r="H1216" s="2" t="str">
        <f t="shared" si="253"/>
        <v>가톨릭대학교 서울성모병원</v>
      </c>
      <c r="I1216" s="2" t="str">
        <f>"특수"</f>
        <v>특수</v>
      </c>
    </row>
    <row r="1217" spans="1:9" x14ac:dyDescent="0.3">
      <c r="A1217" s="2" t="str">
        <f t="shared" si="263"/>
        <v>20250723</v>
      </c>
      <c r="B1217" s="2" t="str">
        <f>"19795482"</f>
        <v>19795482</v>
      </c>
      <c r="C1217" s="2" t="str">
        <f>"차승훈"</f>
        <v>차승훈</v>
      </c>
      <c r="D1217" s="2" t="str">
        <f>"M"</f>
        <v>M</v>
      </c>
      <c r="E1217" s="2" t="str">
        <f>"19821121"</f>
        <v>19821121</v>
      </c>
      <c r="F1217" s="2" t="str">
        <f>"42"</f>
        <v>42</v>
      </c>
      <c r="G1217" s="2" t="str">
        <f t="shared" si="252"/>
        <v>E78660</v>
      </c>
      <c r="H1217" s="2" t="str">
        <f t="shared" si="253"/>
        <v>가톨릭대학교 서울성모병원</v>
      </c>
      <c r="I1217" s="2" t="str">
        <f>"특수"</f>
        <v>특수</v>
      </c>
    </row>
    <row r="1218" spans="1:9" x14ac:dyDescent="0.3">
      <c r="A1218" s="2" t="str">
        <f t="shared" si="263"/>
        <v>20250723</v>
      </c>
      <c r="B1218" s="2" t="str">
        <f>"23720891"</f>
        <v>23720891</v>
      </c>
      <c r="C1218" s="2" t="str">
        <f>"신동필"</f>
        <v>신동필</v>
      </c>
      <c r="D1218" s="2" t="str">
        <f>"M"</f>
        <v>M</v>
      </c>
      <c r="E1218" s="2" t="str">
        <f>"19850321"</f>
        <v>19850321</v>
      </c>
      <c r="F1218" s="2" t="str">
        <f>"40"</f>
        <v>40</v>
      </c>
      <c r="G1218" s="2" t="str">
        <f t="shared" si="252"/>
        <v>E78660</v>
      </c>
      <c r="H1218" s="2" t="str">
        <f t="shared" si="253"/>
        <v>가톨릭대학교 서울성모병원</v>
      </c>
      <c r="I1218" s="2" t="str">
        <f>"배치전"</f>
        <v>배치전</v>
      </c>
    </row>
    <row r="1219" spans="1:9" x14ac:dyDescent="0.3">
      <c r="A1219" s="2" t="str">
        <f t="shared" si="263"/>
        <v>20250723</v>
      </c>
      <c r="B1219" s="2" t="str">
        <f>"33448421"</f>
        <v>33448421</v>
      </c>
      <c r="C1219" s="2" t="str">
        <f>"김민지"</f>
        <v>김민지</v>
      </c>
      <c r="D1219" s="2" t="str">
        <f>"F"</f>
        <v>F</v>
      </c>
      <c r="E1219" s="2" t="str">
        <f>"20000213"</f>
        <v>20000213</v>
      </c>
      <c r="F1219" s="2" t="str">
        <f>"25"</f>
        <v>25</v>
      </c>
      <c r="G1219" s="2" t="str">
        <f t="shared" si="252"/>
        <v>E78660</v>
      </c>
      <c r="H1219" s="2" t="str">
        <f t="shared" si="253"/>
        <v>가톨릭대학교 서울성모병원</v>
      </c>
      <c r="I1219" s="2" t="str">
        <f>"특수"</f>
        <v>특수</v>
      </c>
    </row>
    <row r="1220" spans="1:9" x14ac:dyDescent="0.3">
      <c r="A1220" s="2" t="str">
        <f t="shared" si="263"/>
        <v>20250723</v>
      </c>
      <c r="B1220" s="2" t="str">
        <f>"38351620"</f>
        <v>38351620</v>
      </c>
      <c r="C1220" s="2" t="str">
        <f>"이희라"</f>
        <v>이희라</v>
      </c>
      <c r="D1220" s="2" t="str">
        <f>"F"</f>
        <v>F</v>
      </c>
      <c r="E1220" s="2" t="str">
        <f>"19970307"</f>
        <v>19970307</v>
      </c>
      <c r="F1220" s="2" t="str">
        <f>"28"</f>
        <v>28</v>
      </c>
      <c r="G1220" s="2" t="str">
        <f t="shared" si="252"/>
        <v>E78660</v>
      </c>
      <c r="H1220" s="2" t="str">
        <f t="shared" si="253"/>
        <v>가톨릭대학교 서울성모병원</v>
      </c>
      <c r="I1220" s="2" t="str">
        <f>"특수"</f>
        <v>특수</v>
      </c>
    </row>
    <row r="1221" spans="1:9" x14ac:dyDescent="0.3">
      <c r="A1221" s="2" t="str">
        <f t="shared" si="263"/>
        <v>20250723</v>
      </c>
      <c r="B1221" s="2" t="str">
        <f>"39649424"</f>
        <v>39649424</v>
      </c>
      <c r="C1221" s="2" t="str">
        <f>"김지은"</f>
        <v>김지은</v>
      </c>
      <c r="D1221" s="2" t="str">
        <f>"F"</f>
        <v>F</v>
      </c>
      <c r="E1221" s="2" t="str">
        <f>"19970114"</f>
        <v>19970114</v>
      </c>
      <c r="F1221" s="2" t="str">
        <f>"28"</f>
        <v>28</v>
      </c>
      <c r="G1221" s="2" t="str">
        <f t="shared" ref="G1221:G1284" si="264">"E78660"</f>
        <v>E78660</v>
      </c>
      <c r="H1221" s="2" t="str">
        <f t="shared" ref="H1221:H1284" si="265">"가톨릭대학교 서울성모병원"</f>
        <v>가톨릭대학교 서울성모병원</v>
      </c>
      <c r="I1221" s="2" t="str">
        <f>"배치전"</f>
        <v>배치전</v>
      </c>
    </row>
    <row r="1222" spans="1:9" x14ac:dyDescent="0.3">
      <c r="A1222" s="2" t="str">
        <f t="shared" si="263"/>
        <v>20250723</v>
      </c>
      <c r="B1222" s="2" t="str">
        <f>"40611351"</f>
        <v>40611351</v>
      </c>
      <c r="C1222" s="2" t="str">
        <f>"백동렬"</f>
        <v>백동렬</v>
      </c>
      <c r="D1222" s="2" t="str">
        <f>"M"</f>
        <v>M</v>
      </c>
      <c r="E1222" s="2" t="str">
        <f>"19990312"</f>
        <v>19990312</v>
      </c>
      <c r="F1222" s="2" t="str">
        <f>"26"</f>
        <v>26</v>
      </c>
      <c r="G1222" s="2" t="str">
        <f t="shared" si="264"/>
        <v>E78660</v>
      </c>
      <c r="H1222" s="2" t="str">
        <f t="shared" si="265"/>
        <v>가톨릭대학교 서울성모병원</v>
      </c>
      <c r="I1222" s="2" t="str">
        <f>"배치후"</f>
        <v>배치후</v>
      </c>
    </row>
    <row r="1223" spans="1:9" x14ac:dyDescent="0.3">
      <c r="A1223" s="2" t="str">
        <f t="shared" si="263"/>
        <v>20250723</v>
      </c>
      <c r="B1223" s="2" t="str">
        <f>"41018233"</f>
        <v>41018233</v>
      </c>
      <c r="C1223" s="2" t="str">
        <f>"이숙이"</f>
        <v>이숙이</v>
      </c>
      <c r="D1223" s="2" t="str">
        <f>"F"</f>
        <v>F</v>
      </c>
      <c r="E1223" s="2" t="str">
        <f>"19680917"</f>
        <v>19680917</v>
      </c>
      <c r="F1223" s="2" t="str">
        <f>"56"</f>
        <v>56</v>
      </c>
      <c r="G1223" s="2" t="str">
        <f t="shared" si="264"/>
        <v>E78660</v>
      </c>
      <c r="H1223" s="2" t="str">
        <f t="shared" si="265"/>
        <v>가톨릭대학교 서울성모병원</v>
      </c>
      <c r="I1223" s="2" t="str">
        <f>"배치전"</f>
        <v>배치전</v>
      </c>
    </row>
    <row r="1224" spans="1:9" x14ac:dyDescent="0.3">
      <c r="A1224" s="2" t="str">
        <f t="shared" si="263"/>
        <v>20250723</v>
      </c>
      <c r="B1224" s="2" t="str">
        <f>"41126905"</f>
        <v>41126905</v>
      </c>
      <c r="C1224" s="2" t="str">
        <f>"길예원"</f>
        <v>길예원</v>
      </c>
      <c r="D1224" s="2" t="str">
        <f>"F"</f>
        <v>F</v>
      </c>
      <c r="E1224" s="2" t="str">
        <f>"20011122"</f>
        <v>20011122</v>
      </c>
      <c r="F1224" s="2" t="str">
        <f>"23"</f>
        <v>23</v>
      </c>
      <c r="G1224" s="2" t="str">
        <f t="shared" si="264"/>
        <v>E78660</v>
      </c>
      <c r="H1224" s="2" t="str">
        <f t="shared" si="265"/>
        <v>가톨릭대학교 서울성모병원</v>
      </c>
      <c r="I1224" s="2" t="str">
        <f>"배치전"</f>
        <v>배치전</v>
      </c>
    </row>
    <row r="1225" spans="1:9" x14ac:dyDescent="0.3">
      <c r="A1225" s="2" t="str">
        <f t="shared" si="263"/>
        <v>20250723</v>
      </c>
      <c r="B1225" s="2" t="str">
        <f>"41134854"</f>
        <v>41134854</v>
      </c>
      <c r="C1225" s="2" t="str">
        <f>"강부영"</f>
        <v>강부영</v>
      </c>
      <c r="D1225" s="2" t="str">
        <f>"F"</f>
        <v>F</v>
      </c>
      <c r="E1225" s="2" t="str">
        <f>"19920709"</f>
        <v>19920709</v>
      </c>
      <c r="F1225" s="2" t="str">
        <f>"33"</f>
        <v>33</v>
      </c>
      <c r="G1225" s="2" t="str">
        <f t="shared" si="264"/>
        <v>E78660</v>
      </c>
      <c r="H1225" s="2" t="str">
        <f t="shared" si="265"/>
        <v>가톨릭대학교 서울성모병원</v>
      </c>
      <c r="I1225" s="2" t="str">
        <f>"배치전"</f>
        <v>배치전</v>
      </c>
    </row>
    <row r="1226" spans="1:9" x14ac:dyDescent="0.3">
      <c r="A1226" s="2" t="str">
        <f t="shared" ref="A1226:A1236" si="266">"20250724"</f>
        <v>20250724</v>
      </c>
      <c r="B1226" s="2" t="str">
        <f>"21514254"</f>
        <v>21514254</v>
      </c>
      <c r="C1226" s="2" t="str">
        <f>"장미진"</f>
        <v>장미진</v>
      </c>
      <c r="D1226" s="2" t="str">
        <f>"F"</f>
        <v>F</v>
      </c>
      <c r="E1226" s="2" t="str">
        <f>"19860601"</f>
        <v>19860601</v>
      </c>
      <c r="F1226" s="2" t="str">
        <f>"39"</f>
        <v>39</v>
      </c>
      <c r="G1226" s="2" t="str">
        <f t="shared" si="264"/>
        <v>E78660</v>
      </c>
      <c r="H1226" s="2" t="str">
        <f t="shared" si="265"/>
        <v>가톨릭대학교 서울성모병원</v>
      </c>
      <c r="I1226" s="2" t="str">
        <f>"특수"</f>
        <v>특수</v>
      </c>
    </row>
    <row r="1227" spans="1:9" x14ac:dyDescent="0.3">
      <c r="A1227" s="2" t="str">
        <f t="shared" si="266"/>
        <v>20250724</v>
      </c>
      <c r="B1227" s="2" t="str">
        <f>"26584381"</f>
        <v>26584381</v>
      </c>
      <c r="C1227" s="2" t="str">
        <f>"이은별"</f>
        <v>이은별</v>
      </c>
      <c r="D1227" s="2" t="str">
        <f>"F"</f>
        <v>F</v>
      </c>
      <c r="E1227" s="2" t="str">
        <f>"19831218"</f>
        <v>19831218</v>
      </c>
      <c r="F1227" s="2" t="str">
        <f>"41"</f>
        <v>41</v>
      </c>
      <c r="G1227" s="2" t="str">
        <f t="shared" si="264"/>
        <v>E78660</v>
      </c>
      <c r="H1227" s="2" t="str">
        <f t="shared" si="265"/>
        <v>가톨릭대학교 서울성모병원</v>
      </c>
      <c r="I1227" s="2" t="str">
        <f>"특수"</f>
        <v>특수</v>
      </c>
    </row>
    <row r="1228" spans="1:9" x14ac:dyDescent="0.3">
      <c r="A1228" s="2" t="str">
        <f t="shared" si="266"/>
        <v>20250724</v>
      </c>
      <c r="B1228" s="2" t="str">
        <f>"27372094"</f>
        <v>27372094</v>
      </c>
      <c r="C1228" s="2" t="str">
        <f>"김경구"</f>
        <v>김경구</v>
      </c>
      <c r="D1228" s="2" t="str">
        <f>"M"</f>
        <v>M</v>
      </c>
      <c r="E1228" s="2" t="str">
        <f>"19890225"</f>
        <v>19890225</v>
      </c>
      <c r="F1228" s="2" t="str">
        <f>"36"</f>
        <v>36</v>
      </c>
      <c r="G1228" s="2" t="str">
        <f t="shared" si="264"/>
        <v>E78660</v>
      </c>
      <c r="H1228" s="2" t="str">
        <f t="shared" si="265"/>
        <v>가톨릭대학교 서울성모병원</v>
      </c>
      <c r="I1228" s="2" t="str">
        <f>"특수"</f>
        <v>특수</v>
      </c>
    </row>
    <row r="1229" spans="1:9" x14ac:dyDescent="0.3">
      <c r="A1229" s="2" t="str">
        <f t="shared" si="266"/>
        <v>20250724</v>
      </c>
      <c r="B1229" s="2" t="str">
        <f>"29641793"</f>
        <v>29641793</v>
      </c>
      <c r="C1229" s="2" t="str">
        <f>"서효경"</f>
        <v>서효경</v>
      </c>
      <c r="D1229" s="2" t="str">
        <f>"F"</f>
        <v>F</v>
      </c>
      <c r="E1229" s="2" t="str">
        <f>"19960110"</f>
        <v>19960110</v>
      </c>
      <c r="F1229" s="2" t="str">
        <f>"29"</f>
        <v>29</v>
      </c>
      <c r="G1229" s="2" t="str">
        <f t="shared" si="264"/>
        <v>E78660</v>
      </c>
      <c r="H1229" s="2" t="str">
        <f t="shared" si="265"/>
        <v>가톨릭대학교 서울성모병원</v>
      </c>
      <c r="I1229" s="2" t="str">
        <f>"특수"</f>
        <v>특수</v>
      </c>
    </row>
    <row r="1230" spans="1:9" x14ac:dyDescent="0.3">
      <c r="A1230" s="2" t="str">
        <f t="shared" si="266"/>
        <v>20250724</v>
      </c>
      <c r="B1230" s="2" t="str">
        <f>"32268886"</f>
        <v>32268886</v>
      </c>
      <c r="C1230" s="2" t="str">
        <f>"안율"</f>
        <v>안율</v>
      </c>
      <c r="D1230" s="2" t="str">
        <f>"F"</f>
        <v>F</v>
      </c>
      <c r="E1230" s="2" t="str">
        <f>"19930726"</f>
        <v>19930726</v>
      </c>
      <c r="F1230" s="2" t="str">
        <f>"32"</f>
        <v>32</v>
      </c>
      <c r="G1230" s="2" t="str">
        <f t="shared" si="264"/>
        <v>E78660</v>
      </c>
      <c r="H1230" s="2" t="str">
        <f t="shared" si="265"/>
        <v>가톨릭대학교 서울성모병원</v>
      </c>
      <c r="I1230" s="2" t="str">
        <f>"배치후"</f>
        <v>배치후</v>
      </c>
    </row>
    <row r="1231" spans="1:9" x14ac:dyDescent="0.3">
      <c r="A1231" s="2" t="str">
        <f t="shared" si="266"/>
        <v>20250724</v>
      </c>
      <c r="B1231" s="2" t="str">
        <f>"33448554"</f>
        <v>33448554</v>
      </c>
      <c r="C1231" s="2" t="str">
        <f>"정유빈"</f>
        <v>정유빈</v>
      </c>
      <c r="D1231" s="2" t="str">
        <f>"F"</f>
        <v>F</v>
      </c>
      <c r="E1231" s="2" t="str">
        <f>"20010216"</f>
        <v>20010216</v>
      </c>
      <c r="F1231" s="2" t="str">
        <f>"24"</f>
        <v>24</v>
      </c>
      <c r="G1231" s="2" t="str">
        <f t="shared" si="264"/>
        <v>E78660</v>
      </c>
      <c r="H1231" s="2" t="str">
        <f t="shared" si="265"/>
        <v>가톨릭대학교 서울성모병원</v>
      </c>
      <c r="I1231" s="2" t="str">
        <f>"특수"</f>
        <v>특수</v>
      </c>
    </row>
    <row r="1232" spans="1:9" x14ac:dyDescent="0.3">
      <c r="A1232" s="2" t="str">
        <f t="shared" si="266"/>
        <v>20250724</v>
      </c>
      <c r="B1232" s="2" t="str">
        <f>"3457500"</f>
        <v>3457500</v>
      </c>
      <c r="C1232" s="2" t="str">
        <f>"박지혜"</f>
        <v>박지혜</v>
      </c>
      <c r="D1232" s="2" t="str">
        <f>"F"</f>
        <v>F</v>
      </c>
      <c r="E1232" s="2" t="str">
        <f>"19850626"</f>
        <v>19850626</v>
      </c>
      <c r="F1232" s="2" t="str">
        <f>"40"</f>
        <v>40</v>
      </c>
      <c r="G1232" s="2" t="str">
        <f t="shared" si="264"/>
        <v>E78660</v>
      </c>
      <c r="H1232" s="2" t="str">
        <f t="shared" si="265"/>
        <v>가톨릭대학교 서울성모병원</v>
      </c>
      <c r="I1232" s="2" t="str">
        <f>"특수"</f>
        <v>특수</v>
      </c>
    </row>
    <row r="1233" spans="1:9" x14ac:dyDescent="0.3">
      <c r="A1233" s="2" t="str">
        <f t="shared" si="266"/>
        <v>20250724</v>
      </c>
      <c r="B1233" s="2" t="str">
        <f>"37017136"</f>
        <v>37017136</v>
      </c>
      <c r="C1233" s="2" t="str">
        <f>"김영림"</f>
        <v>김영림</v>
      </c>
      <c r="D1233" s="2" t="str">
        <f>"F"</f>
        <v>F</v>
      </c>
      <c r="E1233" s="2" t="str">
        <f>"19980529"</f>
        <v>19980529</v>
      </c>
      <c r="F1233" s="2" t="str">
        <f>"27"</f>
        <v>27</v>
      </c>
      <c r="G1233" s="2" t="str">
        <f t="shared" si="264"/>
        <v>E78660</v>
      </c>
      <c r="H1233" s="2" t="str">
        <f t="shared" si="265"/>
        <v>가톨릭대학교 서울성모병원</v>
      </c>
      <c r="I1233" s="2" t="str">
        <f>"특수"</f>
        <v>특수</v>
      </c>
    </row>
    <row r="1234" spans="1:9" x14ac:dyDescent="0.3">
      <c r="A1234" s="2" t="str">
        <f t="shared" si="266"/>
        <v>20250724</v>
      </c>
      <c r="B1234" s="2" t="str">
        <f>"37047613"</f>
        <v>37047613</v>
      </c>
      <c r="C1234" s="2" t="str">
        <f>"김현우"</f>
        <v>김현우</v>
      </c>
      <c r="D1234" s="2" t="str">
        <f>"M"</f>
        <v>M</v>
      </c>
      <c r="E1234" s="2" t="str">
        <f>"19970201"</f>
        <v>19970201</v>
      </c>
      <c r="F1234" s="2" t="str">
        <f>"28"</f>
        <v>28</v>
      </c>
      <c r="G1234" s="2" t="str">
        <f t="shared" si="264"/>
        <v>E78660</v>
      </c>
      <c r="H1234" s="2" t="str">
        <f t="shared" si="265"/>
        <v>가톨릭대학교 서울성모병원</v>
      </c>
      <c r="I1234" s="2" t="str">
        <f>"특수"</f>
        <v>특수</v>
      </c>
    </row>
    <row r="1235" spans="1:9" x14ac:dyDescent="0.3">
      <c r="A1235" s="2" t="str">
        <f t="shared" si="266"/>
        <v>20250724</v>
      </c>
      <c r="B1235" s="2" t="str">
        <f>"38871774"</f>
        <v>38871774</v>
      </c>
      <c r="C1235" s="2" t="str">
        <f>"김은미"</f>
        <v>김은미</v>
      </c>
      <c r="D1235" s="2" t="str">
        <f>"F"</f>
        <v>F</v>
      </c>
      <c r="E1235" s="2" t="str">
        <f>"19940809"</f>
        <v>19940809</v>
      </c>
      <c r="F1235" s="2" t="str">
        <f>"30"</f>
        <v>30</v>
      </c>
      <c r="G1235" s="2" t="str">
        <f t="shared" si="264"/>
        <v>E78660</v>
      </c>
      <c r="H1235" s="2" t="str">
        <f t="shared" si="265"/>
        <v>가톨릭대학교 서울성모병원</v>
      </c>
      <c r="I1235" s="2" t="str">
        <f>"특수"</f>
        <v>특수</v>
      </c>
    </row>
    <row r="1236" spans="1:9" x14ac:dyDescent="0.3">
      <c r="A1236" s="2" t="str">
        <f t="shared" si="266"/>
        <v>20250724</v>
      </c>
      <c r="B1236" s="2" t="str">
        <f>"40468415"</f>
        <v>40468415</v>
      </c>
      <c r="C1236" s="2" t="str">
        <f>"손유정"</f>
        <v>손유정</v>
      </c>
      <c r="D1236" s="2" t="str">
        <f>"F"</f>
        <v>F</v>
      </c>
      <c r="E1236" s="2" t="str">
        <f>"19951116"</f>
        <v>19951116</v>
      </c>
      <c r="F1236" s="2" t="str">
        <f>"29"</f>
        <v>29</v>
      </c>
      <c r="G1236" s="2" t="str">
        <f t="shared" si="264"/>
        <v>E78660</v>
      </c>
      <c r="H1236" s="2" t="str">
        <f t="shared" si="265"/>
        <v>가톨릭대학교 서울성모병원</v>
      </c>
      <c r="I1236" s="2" t="str">
        <f>"배치후"</f>
        <v>배치후</v>
      </c>
    </row>
    <row r="1237" spans="1:9" x14ac:dyDescent="0.3">
      <c r="A1237" s="2" t="str">
        <f>"20250728"</f>
        <v>20250728</v>
      </c>
      <c r="B1237" s="2" t="str">
        <f>"11240097"</f>
        <v>11240097</v>
      </c>
      <c r="C1237" s="2" t="str">
        <f>"서영선"</f>
        <v>서영선</v>
      </c>
      <c r="D1237" s="2" t="str">
        <f>"F"</f>
        <v>F</v>
      </c>
      <c r="E1237" s="2" t="str">
        <f>"19781130"</f>
        <v>19781130</v>
      </c>
      <c r="F1237" s="2" t="str">
        <f>"46"</f>
        <v>46</v>
      </c>
      <c r="G1237" s="2" t="str">
        <f t="shared" si="264"/>
        <v>E78660</v>
      </c>
      <c r="H1237" s="2" t="str">
        <f t="shared" si="265"/>
        <v>가톨릭대학교 서울성모병원</v>
      </c>
      <c r="I1237" s="2" t="str">
        <f>"특수"</f>
        <v>특수</v>
      </c>
    </row>
    <row r="1238" spans="1:9" x14ac:dyDescent="0.3">
      <c r="A1238" s="2" t="str">
        <f>"20250728"</f>
        <v>20250728</v>
      </c>
      <c r="B1238" s="2" t="str">
        <f>"18679818"</f>
        <v>18679818</v>
      </c>
      <c r="C1238" s="2" t="str">
        <f>"히라타수미코"</f>
        <v>히라타수미코</v>
      </c>
      <c r="D1238" s="2" t="str">
        <f>"F"</f>
        <v>F</v>
      </c>
      <c r="E1238" s="2" t="str">
        <f>"19650916"</f>
        <v>19650916</v>
      </c>
      <c r="F1238" s="2" t="str">
        <f>"59"</f>
        <v>59</v>
      </c>
      <c r="G1238" s="2" t="str">
        <f t="shared" si="264"/>
        <v>E78660</v>
      </c>
      <c r="H1238" s="2" t="str">
        <f t="shared" si="265"/>
        <v>가톨릭대학교 서울성모병원</v>
      </c>
      <c r="I1238" s="2" t="str">
        <f>"특수"</f>
        <v>특수</v>
      </c>
    </row>
    <row r="1239" spans="1:9" x14ac:dyDescent="0.3">
      <c r="A1239" s="2" t="str">
        <f>"20250728"</f>
        <v>20250728</v>
      </c>
      <c r="B1239" s="2" t="str">
        <f>"40753263"</f>
        <v>40753263</v>
      </c>
      <c r="C1239" s="2" t="str">
        <f>"김재우"</f>
        <v>김재우</v>
      </c>
      <c r="D1239" s="2" t="str">
        <f>"M"</f>
        <v>M</v>
      </c>
      <c r="E1239" s="2" t="str">
        <f>"19960823"</f>
        <v>19960823</v>
      </c>
      <c r="F1239" s="2" t="str">
        <f>"28"</f>
        <v>28</v>
      </c>
      <c r="G1239" s="2" t="str">
        <f t="shared" si="264"/>
        <v>E78660</v>
      </c>
      <c r="H1239" s="2" t="str">
        <f t="shared" si="265"/>
        <v>가톨릭대학교 서울성모병원</v>
      </c>
      <c r="I1239" s="2" t="str">
        <f>"배치후"</f>
        <v>배치후</v>
      </c>
    </row>
    <row r="1240" spans="1:9" x14ac:dyDescent="0.3">
      <c r="A1240" s="2" t="str">
        <f>"20250728"</f>
        <v>20250728</v>
      </c>
      <c r="B1240" s="2" t="str">
        <f>"9266210"</f>
        <v>9266210</v>
      </c>
      <c r="C1240" s="2" t="str">
        <f>"김상엽"</f>
        <v>김상엽</v>
      </c>
      <c r="D1240" s="2" t="str">
        <f>"M"</f>
        <v>M</v>
      </c>
      <c r="E1240" s="2" t="str">
        <f>"19690111"</f>
        <v>19690111</v>
      </c>
      <c r="F1240" s="2" t="str">
        <f>"56"</f>
        <v>56</v>
      </c>
      <c r="G1240" s="2" t="str">
        <f t="shared" si="264"/>
        <v>E78660</v>
      </c>
      <c r="H1240" s="2" t="str">
        <f t="shared" si="265"/>
        <v>가톨릭대학교 서울성모병원</v>
      </c>
      <c r="I1240" s="2" t="str">
        <f>"특수"</f>
        <v>특수</v>
      </c>
    </row>
    <row r="1241" spans="1:9" x14ac:dyDescent="0.3">
      <c r="A1241" s="2" t="str">
        <f t="shared" ref="A1241:A1246" si="267">"20250729"</f>
        <v>20250729</v>
      </c>
      <c r="B1241" s="2" t="str">
        <f>"25474151"</f>
        <v>25474151</v>
      </c>
      <c r="C1241" s="2" t="str">
        <f>"신현장"</f>
        <v>신현장</v>
      </c>
      <c r="D1241" s="2" t="str">
        <f>"M"</f>
        <v>M</v>
      </c>
      <c r="E1241" s="2" t="str">
        <f>"19871017"</f>
        <v>19871017</v>
      </c>
      <c r="F1241" s="2" t="str">
        <f>"37"</f>
        <v>37</v>
      </c>
      <c r="G1241" s="2" t="str">
        <f t="shared" si="264"/>
        <v>E78660</v>
      </c>
      <c r="H1241" s="2" t="str">
        <f t="shared" si="265"/>
        <v>가톨릭대학교 서울성모병원</v>
      </c>
      <c r="I1241" s="2" t="str">
        <f>"특수"</f>
        <v>특수</v>
      </c>
    </row>
    <row r="1242" spans="1:9" x14ac:dyDescent="0.3">
      <c r="A1242" s="2" t="str">
        <f t="shared" si="267"/>
        <v>20250729</v>
      </c>
      <c r="B1242" s="2" t="str">
        <f>"34009571"</f>
        <v>34009571</v>
      </c>
      <c r="C1242" s="2" t="str">
        <f>"홍석호"</f>
        <v>홍석호</v>
      </c>
      <c r="D1242" s="2" t="str">
        <f>"M"</f>
        <v>M</v>
      </c>
      <c r="E1242" s="2" t="str">
        <f>"19940428"</f>
        <v>19940428</v>
      </c>
      <c r="F1242" s="2" t="str">
        <f>"31"</f>
        <v>31</v>
      </c>
      <c r="G1242" s="2" t="str">
        <f t="shared" si="264"/>
        <v>E78660</v>
      </c>
      <c r="H1242" s="2" t="str">
        <f t="shared" si="265"/>
        <v>가톨릭대학교 서울성모병원</v>
      </c>
      <c r="I1242" s="2" t="str">
        <f>"특수"</f>
        <v>특수</v>
      </c>
    </row>
    <row r="1243" spans="1:9" x14ac:dyDescent="0.3">
      <c r="A1243" s="2" t="str">
        <f t="shared" si="267"/>
        <v>20250729</v>
      </c>
      <c r="B1243" s="2" t="str">
        <f>"39283463"</f>
        <v>39283463</v>
      </c>
      <c r="C1243" s="2" t="str">
        <f>"모나현"</f>
        <v>모나현</v>
      </c>
      <c r="D1243" s="2" t="str">
        <f>"F"</f>
        <v>F</v>
      </c>
      <c r="E1243" s="2" t="str">
        <f>"20000224"</f>
        <v>20000224</v>
      </c>
      <c r="F1243" s="2" t="str">
        <f>"25"</f>
        <v>25</v>
      </c>
      <c r="G1243" s="2" t="str">
        <f t="shared" si="264"/>
        <v>E78660</v>
      </c>
      <c r="H1243" s="2" t="str">
        <f t="shared" si="265"/>
        <v>가톨릭대학교 서울성모병원</v>
      </c>
      <c r="I1243" s="2" t="str">
        <f>"특수"</f>
        <v>특수</v>
      </c>
    </row>
    <row r="1244" spans="1:9" x14ac:dyDescent="0.3">
      <c r="A1244" s="2" t="str">
        <f t="shared" si="267"/>
        <v>20250729</v>
      </c>
      <c r="B1244" s="2" t="str">
        <f>"41134916"</f>
        <v>41134916</v>
      </c>
      <c r="C1244" s="2" t="str">
        <f>"김새봄"</f>
        <v>김새봄</v>
      </c>
      <c r="D1244" s="2" t="str">
        <f>"F"</f>
        <v>F</v>
      </c>
      <c r="E1244" s="2" t="str">
        <f>"20010327"</f>
        <v>20010327</v>
      </c>
      <c r="F1244" s="2" t="str">
        <f>"24"</f>
        <v>24</v>
      </c>
      <c r="G1244" s="2" t="str">
        <f t="shared" si="264"/>
        <v>E78660</v>
      </c>
      <c r="H1244" s="2" t="str">
        <f t="shared" si="265"/>
        <v>가톨릭대학교 서울성모병원</v>
      </c>
      <c r="I1244" s="2" t="str">
        <f>"배치전"</f>
        <v>배치전</v>
      </c>
    </row>
    <row r="1245" spans="1:9" x14ac:dyDescent="0.3">
      <c r="A1245" s="2" t="str">
        <f t="shared" si="267"/>
        <v>20250729</v>
      </c>
      <c r="B1245" s="2" t="str">
        <f>"41135022"</f>
        <v>41135022</v>
      </c>
      <c r="C1245" s="2" t="str">
        <f>"김조현"</f>
        <v>김조현</v>
      </c>
      <c r="D1245" s="2" t="str">
        <f>"F"</f>
        <v>F</v>
      </c>
      <c r="E1245" s="2" t="str">
        <f>"20020509"</f>
        <v>20020509</v>
      </c>
      <c r="F1245" s="2" t="str">
        <f>"23"</f>
        <v>23</v>
      </c>
      <c r="G1245" s="2" t="str">
        <f t="shared" si="264"/>
        <v>E78660</v>
      </c>
      <c r="H1245" s="2" t="str">
        <f t="shared" si="265"/>
        <v>가톨릭대학교 서울성모병원</v>
      </c>
      <c r="I1245" s="2" t="str">
        <f>"배치전"</f>
        <v>배치전</v>
      </c>
    </row>
    <row r="1246" spans="1:9" x14ac:dyDescent="0.3">
      <c r="A1246" s="2" t="str">
        <f t="shared" si="267"/>
        <v>20250729</v>
      </c>
      <c r="B1246" s="2" t="str">
        <f>"41135735"</f>
        <v>41135735</v>
      </c>
      <c r="C1246" s="2" t="str">
        <f>"김희성"</f>
        <v>김희성</v>
      </c>
      <c r="D1246" s="2" t="str">
        <f>"M"</f>
        <v>M</v>
      </c>
      <c r="E1246" s="2" t="str">
        <f>"19990727"</f>
        <v>19990727</v>
      </c>
      <c r="F1246" s="2" t="str">
        <f>"26"</f>
        <v>26</v>
      </c>
      <c r="G1246" s="2" t="str">
        <f t="shared" si="264"/>
        <v>E78660</v>
      </c>
      <c r="H1246" s="2" t="str">
        <f t="shared" si="265"/>
        <v>가톨릭대학교 서울성모병원</v>
      </c>
      <c r="I1246" s="2" t="str">
        <f>"배치전"</f>
        <v>배치전</v>
      </c>
    </row>
    <row r="1247" spans="1:9" x14ac:dyDescent="0.3">
      <c r="A1247" s="2" t="str">
        <f t="shared" ref="A1247:A1254" si="268">"20250730"</f>
        <v>20250730</v>
      </c>
      <c r="B1247" s="2" t="str">
        <f>"10075346"</f>
        <v>10075346</v>
      </c>
      <c r="C1247" s="2" t="str">
        <f>"김주연"</f>
        <v>김주연</v>
      </c>
      <c r="D1247" s="2" t="str">
        <f>"F"</f>
        <v>F</v>
      </c>
      <c r="E1247" s="2" t="str">
        <f>"19750616"</f>
        <v>19750616</v>
      </c>
      <c r="F1247" s="2" t="str">
        <f>"50"</f>
        <v>50</v>
      </c>
      <c r="G1247" s="2" t="str">
        <f t="shared" si="264"/>
        <v>E78660</v>
      </c>
      <c r="H1247" s="2" t="str">
        <f t="shared" si="265"/>
        <v>가톨릭대학교 서울성모병원</v>
      </c>
      <c r="I1247" s="2" t="str">
        <f>"특수"</f>
        <v>특수</v>
      </c>
    </row>
    <row r="1248" spans="1:9" x14ac:dyDescent="0.3">
      <c r="A1248" s="2" t="str">
        <f t="shared" si="268"/>
        <v>20250730</v>
      </c>
      <c r="B1248" s="2" t="str">
        <f>"19795455"</f>
        <v>19795455</v>
      </c>
      <c r="C1248" s="2" t="str">
        <f>"송중석"</f>
        <v>송중석</v>
      </c>
      <c r="D1248" s="2" t="str">
        <f>"M"</f>
        <v>M</v>
      </c>
      <c r="E1248" s="2" t="str">
        <f>"19780102"</f>
        <v>19780102</v>
      </c>
      <c r="F1248" s="2" t="str">
        <f>"47"</f>
        <v>47</v>
      </c>
      <c r="G1248" s="2" t="str">
        <f t="shared" si="264"/>
        <v>E78660</v>
      </c>
      <c r="H1248" s="2" t="str">
        <f t="shared" si="265"/>
        <v>가톨릭대학교 서울성모병원</v>
      </c>
      <c r="I1248" s="2" t="str">
        <f>"특수"</f>
        <v>특수</v>
      </c>
    </row>
    <row r="1249" spans="1:9" x14ac:dyDescent="0.3">
      <c r="A1249" s="2" t="str">
        <f t="shared" si="268"/>
        <v>20250730</v>
      </c>
      <c r="B1249" s="2" t="str">
        <f>"27234591"</f>
        <v>27234591</v>
      </c>
      <c r="C1249" s="2" t="str">
        <f>"김지윤"</f>
        <v>김지윤</v>
      </c>
      <c r="D1249" s="2" t="str">
        <f>"F"</f>
        <v>F</v>
      </c>
      <c r="E1249" s="2" t="str">
        <f>"19951214"</f>
        <v>19951214</v>
      </c>
      <c r="F1249" s="2" t="str">
        <f>"29"</f>
        <v>29</v>
      </c>
      <c r="G1249" s="2" t="str">
        <f t="shared" si="264"/>
        <v>E78660</v>
      </c>
      <c r="H1249" s="2" t="str">
        <f t="shared" si="265"/>
        <v>가톨릭대학교 서울성모병원</v>
      </c>
      <c r="I1249" s="2" t="str">
        <f>"배치후"</f>
        <v>배치후</v>
      </c>
    </row>
    <row r="1250" spans="1:9" x14ac:dyDescent="0.3">
      <c r="A1250" s="2" t="str">
        <f t="shared" si="268"/>
        <v>20250730</v>
      </c>
      <c r="B1250" s="2" t="str">
        <f>"29635671"</f>
        <v>29635671</v>
      </c>
      <c r="C1250" s="2" t="str">
        <f>"김신정"</f>
        <v>김신정</v>
      </c>
      <c r="D1250" s="2" t="str">
        <f>"F"</f>
        <v>F</v>
      </c>
      <c r="E1250" s="2" t="str">
        <f>"19931015"</f>
        <v>19931015</v>
      </c>
      <c r="F1250" s="2" t="str">
        <f>"31"</f>
        <v>31</v>
      </c>
      <c r="G1250" s="2" t="str">
        <f t="shared" si="264"/>
        <v>E78660</v>
      </c>
      <c r="H1250" s="2" t="str">
        <f t="shared" si="265"/>
        <v>가톨릭대학교 서울성모병원</v>
      </c>
      <c r="I1250" s="2" t="str">
        <f>"배치전"</f>
        <v>배치전</v>
      </c>
    </row>
    <row r="1251" spans="1:9" x14ac:dyDescent="0.3">
      <c r="A1251" s="2" t="str">
        <f t="shared" si="268"/>
        <v>20250730</v>
      </c>
      <c r="B1251" s="2" t="str">
        <f>"38312435"</f>
        <v>38312435</v>
      </c>
      <c r="C1251" s="2" t="str">
        <f>"서진영"</f>
        <v>서진영</v>
      </c>
      <c r="D1251" s="2" t="str">
        <f>"F"</f>
        <v>F</v>
      </c>
      <c r="E1251" s="2" t="str">
        <f>"19990905"</f>
        <v>19990905</v>
      </c>
      <c r="F1251" s="2" t="str">
        <f>"25"</f>
        <v>25</v>
      </c>
      <c r="G1251" s="2" t="str">
        <f t="shared" si="264"/>
        <v>E78660</v>
      </c>
      <c r="H1251" s="2" t="str">
        <f t="shared" si="265"/>
        <v>가톨릭대학교 서울성모병원</v>
      </c>
      <c r="I1251" s="2" t="str">
        <f t="shared" ref="I1251:I1269" si="269">"특수"</f>
        <v>특수</v>
      </c>
    </row>
    <row r="1252" spans="1:9" x14ac:dyDescent="0.3">
      <c r="A1252" s="2" t="str">
        <f t="shared" si="268"/>
        <v>20250730</v>
      </c>
      <c r="B1252" s="2" t="str">
        <f>"39230076"</f>
        <v>39230076</v>
      </c>
      <c r="C1252" s="2" t="str">
        <f>"김성원"</f>
        <v>김성원</v>
      </c>
      <c r="D1252" s="2" t="str">
        <f>"M"</f>
        <v>M</v>
      </c>
      <c r="E1252" s="2" t="str">
        <f>"19990112"</f>
        <v>19990112</v>
      </c>
      <c r="F1252" s="2" t="str">
        <f>"26"</f>
        <v>26</v>
      </c>
      <c r="G1252" s="2" t="str">
        <f t="shared" si="264"/>
        <v>E78660</v>
      </c>
      <c r="H1252" s="2" t="str">
        <f t="shared" si="265"/>
        <v>가톨릭대학교 서울성모병원</v>
      </c>
      <c r="I1252" s="2" t="str">
        <f t="shared" si="269"/>
        <v>특수</v>
      </c>
    </row>
    <row r="1253" spans="1:9" x14ac:dyDescent="0.3">
      <c r="A1253" s="2" t="str">
        <f t="shared" si="268"/>
        <v>20250730</v>
      </c>
      <c r="B1253" s="2" t="str">
        <f>"39347382"</f>
        <v>39347382</v>
      </c>
      <c r="C1253" s="2" t="str">
        <f>"이재웅"</f>
        <v>이재웅</v>
      </c>
      <c r="D1253" s="2" t="str">
        <f>"M"</f>
        <v>M</v>
      </c>
      <c r="E1253" s="2" t="str">
        <f>"19960712"</f>
        <v>19960712</v>
      </c>
      <c r="F1253" s="2" t="str">
        <f>"29"</f>
        <v>29</v>
      </c>
      <c r="G1253" s="2" t="str">
        <f t="shared" si="264"/>
        <v>E78660</v>
      </c>
      <c r="H1253" s="2" t="str">
        <f t="shared" si="265"/>
        <v>가톨릭대학교 서울성모병원</v>
      </c>
      <c r="I1253" s="2" t="str">
        <f t="shared" si="269"/>
        <v>특수</v>
      </c>
    </row>
    <row r="1254" spans="1:9" x14ac:dyDescent="0.3">
      <c r="A1254" s="2" t="str">
        <f t="shared" si="268"/>
        <v>20250730</v>
      </c>
      <c r="B1254" s="2" t="str">
        <f>"9628408"</f>
        <v>9628408</v>
      </c>
      <c r="C1254" s="2" t="str">
        <f>"신은미"</f>
        <v>신은미</v>
      </c>
      <c r="D1254" s="2" t="str">
        <f t="shared" ref="D1254:D1271" si="270">"F"</f>
        <v>F</v>
      </c>
      <c r="E1254" s="2" t="str">
        <f>"19770225"</f>
        <v>19770225</v>
      </c>
      <c r="F1254" s="2" t="str">
        <f>"48"</f>
        <v>48</v>
      </c>
      <c r="G1254" s="2" t="str">
        <f t="shared" si="264"/>
        <v>E78660</v>
      </c>
      <c r="H1254" s="2" t="str">
        <f t="shared" si="265"/>
        <v>가톨릭대학교 서울성모병원</v>
      </c>
      <c r="I1254" s="2" t="str">
        <f t="shared" si="269"/>
        <v>특수</v>
      </c>
    </row>
    <row r="1255" spans="1:9" x14ac:dyDescent="0.3">
      <c r="A1255" s="2" t="str">
        <f t="shared" ref="A1255:A1269" si="271">"20250731"</f>
        <v>20250731</v>
      </c>
      <c r="B1255" s="2" t="str">
        <f>"10232653"</f>
        <v>10232653</v>
      </c>
      <c r="C1255" s="2" t="str">
        <f>"이연희"</f>
        <v>이연희</v>
      </c>
      <c r="D1255" s="2" t="str">
        <f t="shared" si="270"/>
        <v>F</v>
      </c>
      <c r="E1255" s="2" t="str">
        <f>"19740815"</f>
        <v>19740815</v>
      </c>
      <c r="F1255" s="2" t="str">
        <f>"50"</f>
        <v>50</v>
      </c>
      <c r="G1255" s="2" t="str">
        <f t="shared" si="264"/>
        <v>E78660</v>
      </c>
      <c r="H1255" s="2" t="str">
        <f t="shared" si="265"/>
        <v>가톨릭대학교 서울성모병원</v>
      </c>
      <c r="I1255" s="2" t="str">
        <f t="shared" si="269"/>
        <v>특수</v>
      </c>
    </row>
    <row r="1256" spans="1:9" x14ac:dyDescent="0.3">
      <c r="A1256" s="2" t="str">
        <f t="shared" si="271"/>
        <v>20250731</v>
      </c>
      <c r="B1256" s="2" t="str">
        <f>"15691013"</f>
        <v>15691013</v>
      </c>
      <c r="C1256" s="2" t="str">
        <f>"손인옥"</f>
        <v>손인옥</v>
      </c>
      <c r="D1256" s="2" t="str">
        <f t="shared" si="270"/>
        <v>F</v>
      </c>
      <c r="E1256" s="2" t="str">
        <f>"19850206"</f>
        <v>19850206</v>
      </c>
      <c r="F1256" s="2" t="str">
        <f>"40"</f>
        <v>40</v>
      </c>
      <c r="G1256" s="2" t="str">
        <f t="shared" si="264"/>
        <v>E78660</v>
      </c>
      <c r="H1256" s="2" t="str">
        <f t="shared" si="265"/>
        <v>가톨릭대학교 서울성모병원</v>
      </c>
      <c r="I1256" s="2" t="str">
        <f t="shared" si="269"/>
        <v>특수</v>
      </c>
    </row>
    <row r="1257" spans="1:9" x14ac:dyDescent="0.3">
      <c r="A1257" s="2" t="str">
        <f t="shared" si="271"/>
        <v>20250731</v>
      </c>
      <c r="B1257" s="2" t="str">
        <f>"19888676"</f>
        <v>19888676</v>
      </c>
      <c r="C1257" s="2" t="str">
        <f>"최하영"</f>
        <v>최하영</v>
      </c>
      <c r="D1257" s="2" t="str">
        <f t="shared" si="270"/>
        <v>F</v>
      </c>
      <c r="E1257" s="2" t="str">
        <f>"19810419"</f>
        <v>19810419</v>
      </c>
      <c r="F1257" s="2" t="str">
        <f>"44"</f>
        <v>44</v>
      </c>
      <c r="G1257" s="2" t="str">
        <f t="shared" si="264"/>
        <v>E78660</v>
      </c>
      <c r="H1257" s="2" t="str">
        <f t="shared" si="265"/>
        <v>가톨릭대학교 서울성모병원</v>
      </c>
      <c r="I1257" s="2" t="str">
        <f t="shared" si="269"/>
        <v>특수</v>
      </c>
    </row>
    <row r="1258" spans="1:9" x14ac:dyDescent="0.3">
      <c r="A1258" s="2" t="str">
        <f t="shared" si="271"/>
        <v>20250731</v>
      </c>
      <c r="B1258" s="2" t="str">
        <f>"28553301"</f>
        <v>28553301</v>
      </c>
      <c r="C1258" s="2" t="str">
        <f>"김채연"</f>
        <v>김채연</v>
      </c>
      <c r="D1258" s="2" t="str">
        <f t="shared" si="270"/>
        <v>F</v>
      </c>
      <c r="E1258" s="2" t="str">
        <f>"19960602"</f>
        <v>19960602</v>
      </c>
      <c r="F1258" s="2" t="str">
        <f>"29"</f>
        <v>29</v>
      </c>
      <c r="G1258" s="2" t="str">
        <f t="shared" si="264"/>
        <v>E78660</v>
      </c>
      <c r="H1258" s="2" t="str">
        <f t="shared" si="265"/>
        <v>가톨릭대학교 서울성모병원</v>
      </c>
      <c r="I1258" s="2" t="str">
        <f t="shared" si="269"/>
        <v>특수</v>
      </c>
    </row>
    <row r="1259" spans="1:9" x14ac:dyDescent="0.3">
      <c r="A1259" s="2" t="str">
        <f t="shared" si="271"/>
        <v>20250731</v>
      </c>
      <c r="B1259" s="2" t="str">
        <f>"31059074"</f>
        <v>31059074</v>
      </c>
      <c r="C1259" s="2" t="str">
        <f>"안지영"</f>
        <v>안지영</v>
      </c>
      <c r="D1259" s="2" t="str">
        <f t="shared" si="270"/>
        <v>F</v>
      </c>
      <c r="E1259" s="2" t="str">
        <f>"19940810"</f>
        <v>19940810</v>
      </c>
      <c r="F1259" s="2" t="str">
        <f>"30"</f>
        <v>30</v>
      </c>
      <c r="G1259" s="2" t="str">
        <f t="shared" si="264"/>
        <v>E78660</v>
      </c>
      <c r="H1259" s="2" t="str">
        <f t="shared" si="265"/>
        <v>가톨릭대학교 서울성모병원</v>
      </c>
      <c r="I1259" s="2" t="str">
        <f t="shared" si="269"/>
        <v>특수</v>
      </c>
    </row>
    <row r="1260" spans="1:9" x14ac:dyDescent="0.3">
      <c r="A1260" s="2" t="str">
        <f t="shared" si="271"/>
        <v>20250731</v>
      </c>
      <c r="B1260" s="2" t="str">
        <f>"33466054"</f>
        <v>33466054</v>
      </c>
      <c r="C1260" s="2" t="str">
        <f>"홍정화"</f>
        <v>홍정화</v>
      </c>
      <c r="D1260" s="2" t="str">
        <f t="shared" si="270"/>
        <v>F</v>
      </c>
      <c r="E1260" s="2" t="str">
        <f>"19961012"</f>
        <v>19961012</v>
      </c>
      <c r="F1260" s="2" t="str">
        <f>"28"</f>
        <v>28</v>
      </c>
      <c r="G1260" s="2" t="str">
        <f t="shared" si="264"/>
        <v>E78660</v>
      </c>
      <c r="H1260" s="2" t="str">
        <f t="shared" si="265"/>
        <v>가톨릭대학교 서울성모병원</v>
      </c>
      <c r="I1260" s="2" t="str">
        <f t="shared" si="269"/>
        <v>특수</v>
      </c>
    </row>
    <row r="1261" spans="1:9" x14ac:dyDescent="0.3">
      <c r="A1261" s="2" t="str">
        <f t="shared" si="271"/>
        <v>20250731</v>
      </c>
      <c r="B1261" s="2" t="str">
        <f>"35672991"</f>
        <v>35672991</v>
      </c>
      <c r="C1261" s="2" t="str">
        <f>"박선영"</f>
        <v>박선영</v>
      </c>
      <c r="D1261" s="2" t="str">
        <f t="shared" si="270"/>
        <v>F</v>
      </c>
      <c r="E1261" s="2" t="str">
        <f>"19960214"</f>
        <v>19960214</v>
      </c>
      <c r="F1261" s="2" t="str">
        <f>"29"</f>
        <v>29</v>
      </c>
      <c r="G1261" s="2" t="str">
        <f t="shared" si="264"/>
        <v>E78660</v>
      </c>
      <c r="H1261" s="2" t="str">
        <f t="shared" si="265"/>
        <v>가톨릭대학교 서울성모병원</v>
      </c>
      <c r="I1261" s="2" t="str">
        <f t="shared" si="269"/>
        <v>특수</v>
      </c>
    </row>
    <row r="1262" spans="1:9" x14ac:dyDescent="0.3">
      <c r="A1262" s="2" t="str">
        <f t="shared" si="271"/>
        <v>20250731</v>
      </c>
      <c r="B1262" s="2" t="str">
        <f>"36152412"</f>
        <v>36152412</v>
      </c>
      <c r="C1262" s="2" t="str">
        <f>"김유진"</f>
        <v>김유진</v>
      </c>
      <c r="D1262" s="2" t="str">
        <f t="shared" si="270"/>
        <v>F</v>
      </c>
      <c r="E1262" s="2" t="str">
        <f>"19971215"</f>
        <v>19971215</v>
      </c>
      <c r="F1262" s="2" t="str">
        <f>"27"</f>
        <v>27</v>
      </c>
      <c r="G1262" s="2" t="str">
        <f t="shared" si="264"/>
        <v>E78660</v>
      </c>
      <c r="H1262" s="2" t="str">
        <f t="shared" si="265"/>
        <v>가톨릭대학교 서울성모병원</v>
      </c>
      <c r="I1262" s="2" t="str">
        <f t="shared" si="269"/>
        <v>특수</v>
      </c>
    </row>
    <row r="1263" spans="1:9" x14ac:dyDescent="0.3">
      <c r="A1263" s="2" t="str">
        <f t="shared" si="271"/>
        <v>20250731</v>
      </c>
      <c r="B1263" s="2" t="str">
        <f>"36618650"</f>
        <v>36618650</v>
      </c>
      <c r="C1263" s="2" t="str">
        <f>"이소민"</f>
        <v>이소민</v>
      </c>
      <c r="D1263" s="2" t="str">
        <f t="shared" si="270"/>
        <v>F</v>
      </c>
      <c r="E1263" s="2" t="str">
        <f>"19980708"</f>
        <v>19980708</v>
      </c>
      <c r="F1263" s="2" t="str">
        <f>"27"</f>
        <v>27</v>
      </c>
      <c r="G1263" s="2" t="str">
        <f t="shared" si="264"/>
        <v>E78660</v>
      </c>
      <c r="H1263" s="2" t="str">
        <f t="shared" si="265"/>
        <v>가톨릭대학교 서울성모병원</v>
      </c>
      <c r="I1263" s="2" t="str">
        <f t="shared" si="269"/>
        <v>특수</v>
      </c>
    </row>
    <row r="1264" spans="1:9" x14ac:dyDescent="0.3">
      <c r="A1264" s="2" t="str">
        <f t="shared" si="271"/>
        <v>20250731</v>
      </c>
      <c r="B1264" s="2" t="str">
        <f>"36849314"</f>
        <v>36849314</v>
      </c>
      <c r="C1264" s="2" t="str">
        <f>"김유리"</f>
        <v>김유리</v>
      </c>
      <c r="D1264" s="2" t="str">
        <f t="shared" si="270"/>
        <v>F</v>
      </c>
      <c r="E1264" s="2" t="str">
        <f>"19990810"</f>
        <v>19990810</v>
      </c>
      <c r="F1264" s="2" t="str">
        <f>"25"</f>
        <v>25</v>
      </c>
      <c r="G1264" s="2" t="str">
        <f t="shared" si="264"/>
        <v>E78660</v>
      </c>
      <c r="H1264" s="2" t="str">
        <f t="shared" si="265"/>
        <v>가톨릭대학교 서울성모병원</v>
      </c>
      <c r="I1264" s="2" t="str">
        <f t="shared" si="269"/>
        <v>특수</v>
      </c>
    </row>
    <row r="1265" spans="1:9" x14ac:dyDescent="0.3">
      <c r="A1265" s="2" t="str">
        <f t="shared" si="271"/>
        <v>20250731</v>
      </c>
      <c r="B1265" s="2" t="str">
        <f>"37192225"</f>
        <v>37192225</v>
      </c>
      <c r="C1265" s="2" t="str">
        <f>"이정은"</f>
        <v>이정은</v>
      </c>
      <c r="D1265" s="2" t="str">
        <f t="shared" si="270"/>
        <v>F</v>
      </c>
      <c r="E1265" s="2" t="str">
        <f>"19991031"</f>
        <v>19991031</v>
      </c>
      <c r="F1265" s="2" t="str">
        <f>"25"</f>
        <v>25</v>
      </c>
      <c r="G1265" s="2" t="str">
        <f t="shared" si="264"/>
        <v>E78660</v>
      </c>
      <c r="H1265" s="2" t="str">
        <f t="shared" si="265"/>
        <v>가톨릭대학교 서울성모병원</v>
      </c>
      <c r="I1265" s="2" t="str">
        <f t="shared" si="269"/>
        <v>특수</v>
      </c>
    </row>
    <row r="1266" spans="1:9" x14ac:dyDescent="0.3">
      <c r="A1266" s="2" t="str">
        <f t="shared" si="271"/>
        <v>20250731</v>
      </c>
      <c r="B1266" s="2" t="str">
        <f>"39378781"</f>
        <v>39378781</v>
      </c>
      <c r="C1266" s="2" t="str">
        <f>"박수옥"</f>
        <v>박수옥</v>
      </c>
      <c r="D1266" s="2" t="str">
        <f t="shared" si="270"/>
        <v>F</v>
      </c>
      <c r="E1266" s="2" t="str">
        <f>"19690814"</f>
        <v>19690814</v>
      </c>
      <c r="F1266" s="2" t="str">
        <f>"56"</f>
        <v>56</v>
      </c>
      <c r="G1266" s="2" t="str">
        <f t="shared" si="264"/>
        <v>E78660</v>
      </c>
      <c r="H1266" s="2" t="str">
        <f t="shared" si="265"/>
        <v>가톨릭대학교 서울성모병원</v>
      </c>
      <c r="I1266" s="2" t="str">
        <f t="shared" si="269"/>
        <v>특수</v>
      </c>
    </row>
    <row r="1267" spans="1:9" x14ac:dyDescent="0.3">
      <c r="A1267" s="2" t="str">
        <f t="shared" si="271"/>
        <v>20250731</v>
      </c>
      <c r="B1267" s="2" t="str">
        <f>"39866133"</f>
        <v>39866133</v>
      </c>
      <c r="C1267" s="2" t="str">
        <f>"박현진"</f>
        <v>박현진</v>
      </c>
      <c r="D1267" s="2" t="str">
        <f t="shared" si="270"/>
        <v>F</v>
      </c>
      <c r="E1267" s="2" t="str">
        <f>"19970820"</f>
        <v>19970820</v>
      </c>
      <c r="F1267" s="2" t="str">
        <f>"27"</f>
        <v>27</v>
      </c>
      <c r="G1267" s="2" t="str">
        <f t="shared" si="264"/>
        <v>E78660</v>
      </c>
      <c r="H1267" s="2" t="str">
        <f t="shared" si="265"/>
        <v>가톨릭대학교 서울성모병원</v>
      </c>
      <c r="I1267" s="2" t="str">
        <f t="shared" si="269"/>
        <v>특수</v>
      </c>
    </row>
    <row r="1268" spans="1:9" x14ac:dyDescent="0.3">
      <c r="A1268" s="2" t="str">
        <f t="shared" si="271"/>
        <v>20250731</v>
      </c>
      <c r="B1268" s="2" t="str">
        <f>"4420"</f>
        <v>4420</v>
      </c>
      <c r="C1268" s="2" t="str">
        <f>"배경희"</f>
        <v>배경희</v>
      </c>
      <c r="D1268" s="2" t="str">
        <f t="shared" si="270"/>
        <v>F</v>
      </c>
      <c r="E1268" s="2" t="str">
        <f>"19740211"</f>
        <v>19740211</v>
      </c>
      <c r="F1268" s="2" t="str">
        <f>"51"</f>
        <v>51</v>
      </c>
      <c r="G1268" s="2" t="str">
        <f t="shared" si="264"/>
        <v>E78660</v>
      </c>
      <c r="H1268" s="2" t="str">
        <f t="shared" si="265"/>
        <v>가톨릭대학교 서울성모병원</v>
      </c>
      <c r="I1268" s="2" t="str">
        <f t="shared" si="269"/>
        <v>특수</v>
      </c>
    </row>
    <row r="1269" spans="1:9" x14ac:dyDescent="0.3">
      <c r="A1269" s="2" t="str">
        <f t="shared" si="271"/>
        <v>20250731</v>
      </c>
      <c r="B1269" s="2" t="str">
        <f>"7607703"</f>
        <v>7607703</v>
      </c>
      <c r="C1269" s="2" t="str">
        <f>"박순"</f>
        <v>박순</v>
      </c>
      <c r="D1269" s="2" t="str">
        <f t="shared" si="270"/>
        <v>F</v>
      </c>
      <c r="E1269" s="2" t="str">
        <f>"19720904"</f>
        <v>19720904</v>
      </c>
      <c r="F1269" s="2" t="str">
        <f>"52"</f>
        <v>52</v>
      </c>
      <c r="G1269" s="2" t="str">
        <f t="shared" si="264"/>
        <v>E78660</v>
      </c>
      <c r="H1269" s="2" t="str">
        <f t="shared" si="265"/>
        <v>가톨릭대학교 서울성모병원</v>
      </c>
      <c r="I1269" s="2" t="str">
        <f t="shared" si="269"/>
        <v>특수</v>
      </c>
    </row>
    <row r="1270" spans="1:9" x14ac:dyDescent="0.3">
      <c r="A1270" s="2" t="str">
        <f t="shared" ref="A1270:A1278" si="272">"20250804"</f>
        <v>20250804</v>
      </c>
      <c r="B1270" s="2" t="str">
        <f>"23721841"</f>
        <v>23721841</v>
      </c>
      <c r="C1270" s="2" t="str">
        <f>"문유리"</f>
        <v>문유리</v>
      </c>
      <c r="D1270" s="2" t="str">
        <f t="shared" si="270"/>
        <v>F</v>
      </c>
      <c r="E1270" s="2" t="str">
        <f>"19880805"</f>
        <v>19880805</v>
      </c>
      <c r="F1270" s="2" t="str">
        <f>"37"</f>
        <v>37</v>
      </c>
      <c r="G1270" s="2" t="str">
        <f t="shared" si="264"/>
        <v>E78660</v>
      </c>
      <c r="H1270" s="2" t="str">
        <f t="shared" si="265"/>
        <v>가톨릭대학교 서울성모병원</v>
      </c>
      <c r="I1270" s="2" t="str">
        <f>"배치후"</f>
        <v>배치후</v>
      </c>
    </row>
    <row r="1271" spans="1:9" x14ac:dyDescent="0.3">
      <c r="A1271" s="2" t="str">
        <f t="shared" si="272"/>
        <v>20250804</v>
      </c>
      <c r="B1271" s="2" t="str">
        <f>"23761924"</f>
        <v>23761924</v>
      </c>
      <c r="C1271" s="2" t="str">
        <f>"최이슬"</f>
        <v>최이슬</v>
      </c>
      <c r="D1271" s="2" t="str">
        <f t="shared" si="270"/>
        <v>F</v>
      </c>
      <c r="E1271" s="2" t="str">
        <f>"19891015"</f>
        <v>19891015</v>
      </c>
      <c r="F1271" s="2" t="str">
        <f>"35"</f>
        <v>35</v>
      </c>
      <c r="G1271" s="2" t="str">
        <f t="shared" si="264"/>
        <v>E78660</v>
      </c>
      <c r="H1271" s="2" t="str">
        <f t="shared" si="265"/>
        <v>가톨릭대학교 서울성모병원</v>
      </c>
      <c r="I1271" s="2" t="str">
        <f>"배치후"</f>
        <v>배치후</v>
      </c>
    </row>
    <row r="1272" spans="1:9" x14ac:dyDescent="0.3">
      <c r="A1272" s="2" t="str">
        <f t="shared" si="272"/>
        <v>20250804</v>
      </c>
      <c r="B1272" s="2" t="str">
        <f>"24142674"</f>
        <v>24142674</v>
      </c>
      <c r="C1272" s="2" t="str">
        <f>"임경채"</f>
        <v>임경채</v>
      </c>
      <c r="D1272" s="2" t="str">
        <f>"M"</f>
        <v>M</v>
      </c>
      <c r="E1272" s="2" t="str">
        <f>"19821204"</f>
        <v>19821204</v>
      </c>
      <c r="F1272" s="2" t="str">
        <f>"42"</f>
        <v>42</v>
      </c>
      <c r="G1272" s="2" t="str">
        <f t="shared" si="264"/>
        <v>E78660</v>
      </c>
      <c r="H1272" s="2" t="str">
        <f t="shared" si="265"/>
        <v>가톨릭대학교 서울성모병원</v>
      </c>
      <c r="I1272" s="2" t="str">
        <f>"특수"</f>
        <v>특수</v>
      </c>
    </row>
    <row r="1273" spans="1:9" x14ac:dyDescent="0.3">
      <c r="A1273" s="2" t="str">
        <f t="shared" si="272"/>
        <v>20250804</v>
      </c>
      <c r="B1273" s="2" t="str">
        <f>"26092366"</f>
        <v>26092366</v>
      </c>
      <c r="C1273" s="2" t="str">
        <f>"김석휘"</f>
        <v>김석휘</v>
      </c>
      <c r="D1273" s="2" t="str">
        <f>"M"</f>
        <v>M</v>
      </c>
      <c r="E1273" s="2" t="str">
        <f>"19851101"</f>
        <v>19851101</v>
      </c>
      <c r="F1273" s="2" t="str">
        <f>"39"</f>
        <v>39</v>
      </c>
      <c r="G1273" s="2" t="str">
        <f t="shared" si="264"/>
        <v>E78660</v>
      </c>
      <c r="H1273" s="2" t="str">
        <f t="shared" si="265"/>
        <v>가톨릭대학교 서울성모병원</v>
      </c>
      <c r="I1273" s="2" t="str">
        <f>"특수"</f>
        <v>특수</v>
      </c>
    </row>
    <row r="1274" spans="1:9" x14ac:dyDescent="0.3">
      <c r="A1274" s="2" t="str">
        <f t="shared" si="272"/>
        <v>20250804</v>
      </c>
      <c r="B1274" s="2" t="str">
        <f>"27160611"</f>
        <v>27160611</v>
      </c>
      <c r="C1274" s="2" t="str">
        <f>"전윤정"</f>
        <v>전윤정</v>
      </c>
      <c r="D1274" s="2" t="str">
        <f>"F"</f>
        <v>F</v>
      </c>
      <c r="E1274" s="2" t="str">
        <f>"19900623"</f>
        <v>19900623</v>
      </c>
      <c r="F1274" s="2" t="str">
        <f>"35"</f>
        <v>35</v>
      </c>
      <c r="G1274" s="2" t="str">
        <f t="shared" si="264"/>
        <v>E78660</v>
      </c>
      <c r="H1274" s="2" t="str">
        <f t="shared" si="265"/>
        <v>가톨릭대학교 서울성모병원</v>
      </c>
      <c r="I1274" s="2" t="str">
        <f t="shared" ref="I1274:I1279" si="273">"배치후"</f>
        <v>배치후</v>
      </c>
    </row>
    <row r="1275" spans="1:9" x14ac:dyDescent="0.3">
      <c r="A1275" s="2" t="str">
        <f t="shared" si="272"/>
        <v>20250804</v>
      </c>
      <c r="B1275" s="2" t="str">
        <f>"34784302"</f>
        <v>34784302</v>
      </c>
      <c r="C1275" s="2" t="str">
        <f>"허지원"</f>
        <v>허지원</v>
      </c>
      <c r="D1275" s="2" t="str">
        <f>"M"</f>
        <v>M</v>
      </c>
      <c r="E1275" s="2" t="str">
        <f>"19950624"</f>
        <v>19950624</v>
      </c>
      <c r="F1275" s="2" t="str">
        <f>"30"</f>
        <v>30</v>
      </c>
      <c r="G1275" s="2" t="str">
        <f t="shared" si="264"/>
        <v>E78660</v>
      </c>
      <c r="H1275" s="2" t="str">
        <f t="shared" si="265"/>
        <v>가톨릭대학교 서울성모병원</v>
      </c>
      <c r="I1275" s="2" t="str">
        <f t="shared" si="273"/>
        <v>배치후</v>
      </c>
    </row>
    <row r="1276" spans="1:9" x14ac:dyDescent="0.3">
      <c r="A1276" s="2" t="str">
        <f t="shared" si="272"/>
        <v>20250804</v>
      </c>
      <c r="B1276" s="2" t="str">
        <f>"34848580"</f>
        <v>34848580</v>
      </c>
      <c r="C1276" s="2" t="str">
        <f>"권한슬"</f>
        <v>권한슬</v>
      </c>
      <c r="D1276" s="2" t="str">
        <f>"F"</f>
        <v>F</v>
      </c>
      <c r="E1276" s="2" t="str">
        <f>"19970428"</f>
        <v>19970428</v>
      </c>
      <c r="F1276" s="2" t="str">
        <f>"28"</f>
        <v>28</v>
      </c>
      <c r="G1276" s="2" t="str">
        <f t="shared" si="264"/>
        <v>E78660</v>
      </c>
      <c r="H1276" s="2" t="str">
        <f t="shared" si="265"/>
        <v>가톨릭대학교 서울성모병원</v>
      </c>
      <c r="I1276" s="2" t="str">
        <f t="shared" si="273"/>
        <v>배치후</v>
      </c>
    </row>
    <row r="1277" spans="1:9" x14ac:dyDescent="0.3">
      <c r="A1277" s="2" t="str">
        <f t="shared" si="272"/>
        <v>20250804</v>
      </c>
      <c r="B1277" s="2" t="str">
        <f>"40606291"</f>
        <v>40606291</v>
      </c>
      <c r="C1277" s="2" t="str">
        <f>"남승현"</f>
        <v>남승현</v>
      </c>
      <c r="D1277" s="2" t="str">
        <f>"F"</f>
        <v>F</v>
      </c>
      <c r="E1277" s="2" t="str">
        <f>"19981031"</f>
        <v>19981031</v>
      </c>
      <c r="F1277" s="2" t="str">
        <f>"26"</f>
        <v>26</v>
      </c>
      <c r="G1277" s="2" t="str">
        <f t="shared" si="264"/>
        <v>E78660</v>
      </c>
      <c r="H1277" s="2" t="str">
        <f t="shared" si="265"/>
        <v>가톨릭대학교 서울성모병원</v>
      </c>
      <c r="I1277" s="2" t="str">
        <f t="shared" si="273"/>
        <v>배치후</v>
      </c>
    </row>
    <row r="1278" spans="1:9" x14ac:dyDescent="0.3">
      <c r="A1278" s="2" t="str">
        <f t="shared" si="272"/>
        <v>20250804</v>
      </c>
      <c r="B1278" s="2" t="str">
        <f>"40689302"</f>
        <v>40689302</v>
      </c>
      <c r="C1278" s="2" t="str">
        <f>"박윤경"</f>
        <v>박윤경</v>
      </c>
      <c r="D1278" s="2" t="str">
        <f>"F"</f>
        <v>F</v>
      </c>
      <c r="E1278" s="2" t="str">
        <f>"19951214"</f>
        <v>19951214</v>
      </c>
      <c r="F1278" s="2" t="str">
        <f>"29"</f>
        <v>29</v>
      </c>
      <c r="G1278" s="2" t="str">
        <f t="shared" si="264"/>
        <v>E78660</v>
      </c>
      <c r="H1278" s="2" t="str">
        <f t="shared" si="265"/>
        <v>가톨릭대학교 서울성모병원</v>
      </c>
      <c r="I1278" s="2" t="str">
        <f t="shared" si="273"/>
        <v>배치후</v>
      </c>
    </row>
    <row r="1279" spans="1:9" x14ac:dyDescent="0.3">
      <c r="A1279" s="2" t="str">
        <f t="shared" ref="A1279:A1286" si="274">"20250805"</f>
        <v>20250805</v>
      </c>
      <c r="B1279" s="2" t="str">
        <f>"11307697"</f>
        <v>11307697</v>
      </c>
      <c r="C1279" s="2" t="str">
        <f>"오수연"</f>
        <v>오수연</v>
      </c>
      <c r="D1279" s="2" t="str">
        <f>"F"</f>
        <v>F</v>
      </c>
      <c r="E1279" s="2" t="str">
        <f>"19980113"</f>
        <v>19980113</v>
      </c>
      <c r="F1279" s="2" t="str">
        <f>"27"</f>
        <v>27</v>
      </c>
      <c r="G1279" s="2" t="str">
        <f t="shared" si="264"/>
        <v>E78660</v>
      </c>
      <c r="H1279" s="2" t="str">
        <f t="shared" si="265"/>
        <v>가톨릭대학교 서울성모병원</v>
      </c>
      <c r="I1279" s="2" t="str">
        <f t="shared" si="273"/>
        <v>배치후</v>
      </c>
    </row>
    <row r="1280" spans="1:9" x14ac:dyDescent="0.3">
      <c r="A1280" s="2" t="str">
        <f t="shared" si="274"/>
        <v>20250805</v>
      </c>
      <c r="B1280" s="2" t="str">
        <f>"14185838"</f>
        <v>14185838</v>
      </c>
      <c r="C1280" s="2" t="str">
        <f>"김진영"</f>
        <v>김진영</v>
      </c>
      <c r="D1280" s="2" t="str">
        <f>"F"</f>
        <v>F</v>
      </c>
      <c r="E1280" s="2" t="str">
        <f>"19791202"</f>
        <v>19791202</v>
      </c>
      <c r="F1280" s="2" t="str">
        <f>"45"</f>
        <v>45</v>
      </c>
      <c r="G1280" s="2" t="str">
        <f t="shared" si="264"/>
        <v>E78660</v>
      </c>
      <c r="H1280" s="2" t="str">
        <f t="shared" si="265"/>
        <v>가톨릭대학교 서울성모병원</v>
      </c>
      <c r="I1280" s="2" t="str">
        <f>"특수"</f>
        <v>특수</v>
      </c>
    </row>
    <row r="1281" spans="1:9" x14ac:dyDescent="0.3">
      <c r="A1281" s="2" t="str">
        <f t="shared" si="274"/>
        <v>20250805</v>
      </c>
      <c r="B1281" s="2" t="str">
        <f>"25088304"</f>
        <v>25088304</v>
      </c>
      <c r="C1281" s="2" t="str">
        <f>"백주영"</f>
        <v>백주영</v>
      </c>
      <c r="D1281" s="2" t="str">
        <f>"M"</f>
        <v>M</v>
      </c>
      <c r="E1281" s="2" t="str">
        <f>"19870814"</f>
        <v>19870814</v>
      </c>
      <c r="F1281" s="2" t="str">
        <f>"38"</f>
        <v>38</v>
      </c>
      <c r="G1281" s="2" t="str">
        <f t="shared" si="264"/>
        <v>E78660</v>
      </c>
      <c r="H1281" s="2" t="str">
        <f t="shared" si="265"/>
        <v>가톨릭대학교 서울성모병원</v>
      </c>
      <c r="I1281" s="2" t="str">
        <f>"배치후"</f>
        <v>배치후</v>
      </c>
    </row>
    <row r="1282" spans="1:9" x14ac:dyDescent="0.3">
      <c r="A1282" s="2" t="str">
        <f t="shared" si="274"/>
        <v>20250805</v>
      </c>
      <c r="B1282" s="2" t="str">
        <f>"25252133"</f>
        <v>25252133</v>
      </c>
      <c r="C1282" s="2" t="str">
        <f>"김나래"</f>
        <v>김나래</v>
      </c>
      <c r="D1282" s="2" t="str">
        <f t="shared" ref="D1282:D1290" si="275">"F"</f>
        <v>F</v>
      </c>
      <c r="E1282" s="2" t="str">
        <f>"19910224"</f>
        <v>19910224</v>
      </c>
      <c r="F1282" s="2" t="str">
        <f>"34"</f>
        <v>34</v>
      </c>
      <c r="G1282" s="2" t="str">
        <f t="shared" si="264"/>
        <v>E78660</v>
      </c>
      <c r="H1282" s="2" t="str">
        <f t="shared" si="265"/>
        <v>가톨릭대학교 서울성모병원</v>
      </c>
      <c r="I1282" s="2" t="str">
        <f t="shared" ref="I1282:I1292" si="276">"특수"</f>
        <v>특수</v>
      </c>
    </row>
    <row r="1283" spans="1:9" x14ac:dyDescent="0.3">
      <c r="A1283" s="2" t="str">
        <f t="shared" si="274"/>
        <v>20250805</v>
      </c>
      <c r="B1283" s="2" t="str">
        <f>"27397425"</f>
        <v>27397425</v>
      </c>
      <c r="C1283" s="2" t="str">
        <f>"차주혜"</f>
        <v>차주혜</v>
      </c>
      <c r="D1283" s="2" t="str">
        <f t="shared" si="275"/>
        <v>F</v>
      </c>
      <c r="E1283" s="2" t="str">
        <f>"19950227"</f>
        <v>19950227</v>
      </c>
      <c r="F1283" s="2" t="str">
        <f>"30"</f>
        <v>30</v>
      </c>
      <c r="G1283" s="2" t="str">
        <f t="shared" si="264"/>
        <v>E78660</v>
      </c>
      <c r="H1283" s="2" t="str">
        <f t="shared" si="265"/>
        <v>가톨릭대학교 서울성모병원</v>
      </c>
      <c r="I1283" s="2" t="str">
        <f t="shared" si="276"/>
        <v>특수</v>
      </c>
    </row>
    <row r="1284" spans="1:9" x14ac:dyDescent="0.3">
      <c r="A1284" s="2" t="str">
        <f t="shared" si="274"/>
        <v>20250805</v>
      </c>
      <c r="B1284" s="2" t="str">
        <f>"27711594"</f>
        <v>27711594</v>
      </c>
      <c r="C1284" s="2" t="str">
        <f>"권미연"</f>
        <v>권미연</v>
      </c>
      <c r="D1284" s="2" t="str">
        <f t="shared" si="275"/>
        <v>F</v>
      </c>
      <c r="E1284" s="2" t="str">
        <f>"19910723"</f>
        <v>19910723</v>
      </c>
      <c r="F1284" s="2" t="str">
        <f>"34"</f>
        <v>34</v>
      </c>
      <c r="G1284" s="2" t="str">
        <f t="shared" si="264"/>
        <v>E78660</v>
      </c>
      <c r="H1284" s="2" t="str">
        <f t="shared" si="265"/>
        <v>가톨릭대학교 서울성모병원</v>
      </c>
      <c r="I1284" s="2" t="str">
        <f t="shared" si="276"/>
        <v>특수</v>
      </c>
    </row>
    <row r="1285" spans="1:9" x14ac:dyDescent="0.3">
      <c r="A1285" s="2" t="str">
        <f t="shared" si="274"/>
        <v>20250805</v>
      </c>
      <c r="B1285" s="2" t="str">
        <f>"29641801"</f>
        <v>29641801</v>
      </c>
      <c r="C1285" s="2" t="str">
        <f>"박예진"</f>
        <v>박예진</v>
      </c>
      <c r="D1285" s="2" t="str">
        <f t="shared" si="275"/>
        <v>F</v>
      </c>
      <c r="E1285" s="2" t="str">
        <f>"19970819"</f>
        <v>19970819</v>
      </c>
      <c r="F1285" s="2" t="str">
        <f>"27"</f>
        <v>27</v>
      </c>
      <c r="G1285" s="2" t="str">
        <f t="shared" ref="G1285:G1348" si="277">"E78660"</f>
        <v>E78660</v>
      </c>
      <c r="H1285" s="2" t="str">
        <f t="shared" ref="H1285:H1348" si="278">"가톨릭대학교 서울성모병원"</f>
        <v>가톨릭대학교 서울성모병원</v>
      </c>
      <c r="I1285" s="2" t="str">
        <f t="shared" si="276"/>
        <v>특수</v>
      </c>
    </row>
    <row r="1286" spans="1:9" x14ac:dyDescent="0.3">
      <c r="A1286" s="2" t="str">
        <f t="shared" si="274"/>
        <v>20250805</v>
      </c>
      <c r="B1286" s="2" t="str">
        <f>"36152634"</f>
        <v>36152634</v>
      </c>
      <c r="C1286" s="2" t="str">
        <f>"정정민"</f>
        <v>정정민</v>
      </c>
      <c r="D1286" s="2" t="str">
        <f t="shared" si="275"/>
        <v>F</v>
      </c>
      <c r="E1286" s="2" t="str">
        <f>"19980819"</f>
        <v>19980819</v>
      </c>
      <c r="F1286" s="2" t="str">
        <f>"26"</f>
        <v>26</v>
      </c>
      <c r="G1286" s="2" t="str">
        <f t="shared" si="277"/>
        <v>E78660</v>
      </c>
      <c r="H1286" s="2" t="str">
        <f t="shared" si="278"/>
        <v>가톨릭대학교 서울성모병원</v>
      </c>
      <c r="I1286" s="2" t="str">
        <f t="shared" si="276"/>
        <v>특수</v>
      </c>
    </row>
    <row r="1287" spans="1:9" x14ac:dyDescent="0.3">
      <c r="A1287" s="2" t="str">
        <f t="shared" ref="A1287:A1297" si="279">"20250806"</f>
        <v>20250806</v>
      </c>
      <c r="B1287" s="2" t="str">
        <f>"23006954"</f>
        <v>23006954</v>
      </c>
      <c r="C1287" s="2" t="str">
        <f>"김원자"</f>
        <v>김원자</v>
      </c>
      <c r="D1287" s="2" t="str">
        <f t="shared" si="275"/>
        <v>F</v>
      </c>
      <c r="E1287" s="2" t="str">
        <f>"19850420"</f>
        <v>19850420</v>
      </c>
      <c r="F1287" s="2" t="str">
        <f>"40"</f>
        <v>40</v>
      </c>
      <c r="G1287" s="2" t="str">
        <f t="shared" si="277"/>
        <v>E78660</v>
      </c>
      <c r="H1287" s="2" t="str">
        <f t="shared" si="278"/>
        <v>가톨릭대학교 서울성모병원</v>
      </c>
      <c r="I1287" s="2" t="str">
        <f t="shared" si="276"/>
        <v>특수</v>
      </c>
    </row>
    <row r="1288" spans="1:9" x14ac:dyDescent="0.3">
      <c r="A1288" s="2" t="str">
        <f t="shared" si="279"/>
        <v>20250806</v>
      </c>
      <c r="B1288" s="2" t="str">
        <f>"25252251"</f>
        <v>25252251</v>
      </c>
      <c r="C1288" s="2" t="str">
        <f>"박보영"</f>
        <v>박보영</v>
      </c>
      <c r="D1288" s="2" t="str">
        <f t="shared" si="275"/>
        <v>F</v>
      </c>
      <c r="E1288" s="2" t="str">
        <f>"19871208"</f>
        <v>19871208</v>
      </c>
      <c r="F1288" s="2" t="str">
        <f>"37"</f>
        <v>37</v>
      </c>
      <c r="G1288" s="2" t="str">
        <f t="shared" si="277"/>
        <v>E78660</v>
      </c>
      <c r="H1288" s="2" t="str">
        <f t="shared" si="278"/>
        <v>가톨릭대학교 서울성모병원</v>
      </c>
      <c r="I1288" s="2" t="str">
        <f t="shared" si="276"/>
        <v>특수</v>
      </c>
    </row>
    <row r="1289" spans="1:9" x14ac:dyDescent="0.3">
      <c r="A1289" s="2" t="str">
        <f t="shared" si="279"/>
        <v>20250806</v>
      </c>
      <c r="B1289" s="2" t="str">
        <f>"32406051"</f>
        <v>32406051</v>
      </c>
      <c r="C1289" s="2" t="str">
        <f>"이태현"</f>
        <v>이태현</v>
      </c>
      <c r="D1289" s="2" t="str">
        <f t="shared" si="275"/>
        <v>F</v>
      </c>
      <c r="E1289" s="2" t="str">
        <f>"19950321"</f>
        <v>19950321</v>
      </c>
      <c r="F1289" s="2" t="str">
        <f>"30"</f>
        <v>30</v>
      </c>
      <c r="G1289" s="2" t="str">
        <f t="shared" si="277"/>
        <v>E78660</v>
      </c>
      <c r="H1289" s="2" t="str">
        <f t="shared" si="278"/>
        <v>가톨릭대학교 서울성모병원</v>
      </c>
      <c r="I1289" s="2" t="str">
        <f t="shared" si="276"/>
        <v>특수</v>
      </c>
    </row>
    <row r="1290" spans="1:9" x14ac:dyDescent="0.3">
      <c r="A1290" s="2" t="str">
        <f t="shared" si="279"/>
        <v>20250806</v>
      </c>
      <c r="B1290" s="2" t="str">
        <f>"38475022"</f>
        <v>38475022</v>
      </c>
      <c r="C1290" s="2" t="str">
        <f>"손민희"</f>
        <v>손민희</v>
      </c>
      <c r="D1290" s="2" t="str">
        <f t="shared" si="275"/>
        <v>F</v>
      </c>
      <c r="E1290" s="2" t="str">
        <f>"19910408"</f>
        <v>19910408</v>
      </c>
      <c r="F1290" s="2" t="str">
        <f>"34"</f>
        <v>34</v>
      </c>
      <c r="G1290" s="2" t="str">
        <f t="shared" si="277"/>
        <v>E78660</v>
      </c>
      <c r="H1290" s="2" t="str">
        <f t="shared" si="278"/>
        <v>가톨릭대학교 서울성모병원</v>
      </c>
      <c r="I1290" s="2" t="str">
        <f t="shared" si="276"/>
        <v>특수</v>
      </c>
    </row>
    <row r="1291" spans="1:9" x14ac:dyDescent="0.3">
      <c r="A1291" s="2" t="str">
        <f t="shared" si="279"/>
        <v>20250806</v>
      </c>
      <c r="B1291" s="2" t="str">
        <f>"39150331"</f>
        <v>39150331</v>
      </c>
      <c r="C1291" s="2" t="str">
        <f>"홍정표"</f>
        <v>홍정표</v>
      </c>
      <c r="D1291" s="2" t="str">
        <f>"M"</f>
        <v>M</v>
      </c>
      <c r="E1291" s="2" t="str">
        <f>"19991206"</f>
        <v>19991206</v>
      </c>
      <c r="F1291" s="2" t="str">
        <f>"25"</f>
        <v>25</v>
      </c>
      <c r="G1291" s="2" t="str">
        <f t="shared" si="277"/>
        <v>E78660</v>
      </c>
      <c r="H1291" s="2" t="str">
        <f t="shared" si="278"/>
        <v>가톨릭대학교 서울성모병원</v>
      </c>
      <c r="I1291" s="2" t="str">
        <f t="shared" si="276"/>
        <v>특수</v>
      </c>
    </row>
    <row r="1292" spans="1:9" x14ac:dyDescent="0.3">
      <c r="A1292" s="2" t="str">
        <f t="shared" si="279"/>
        <v>20250806</v>
      </c>
      <c r="B1292" s="2" t="str">
        <f>"39775360"</f>
        <v>39775360</v>
      </c>
      <c r="C1292" s="2" t="str">
        <f>"최은아"</f>
        <v>최은아</v>
      </c>
      <c r="D1292" s="2" t="str">
        <f>"F"</f>
        <v>F</v>
      </c>
      <c r="E1292" s="2" t="str">
        <f>"19960821"</f>
        <v>19960821</v>
      </c>
      <c r="F1292" s="2" t="str">
        <f>"28"</f>
        <v>28</v>
      </c>
      <c r="G1292" s="2" t="str">
        <f t="shared" si="277"/>
        <v>E78660</v>
      </c>
      <c r="H1292" s="2" t="str">
        <f t="shared" si="278"/>
        <v>가톨릭대학교 서울성모병원</v>
      </c>
      <c r="I1292" s="2" t="str">
        <f t="shared" si="276"/>
        <v>특수</v>
      </c>
    </row>
    <row r="1293" spans="1:9" x14ac:dyDescent="0.3">
      <c r="A1293" s="2" t="str">
        <f t="shared" si="279"/>
        <v>20250806</v>
      </c>
      <c r="B1293" s="2" t="str">
        <f>"40517716"</f>
        <v>40517716</v>
      </c>
      <c r="C1293" s="2" t="str">
        <f>"안도희"</f>
        <v>안도희</v>
      </c>
      <c r="D1293" s="2" t="str">
        <f>"F"</f>
        <v>F</v>
      </c>
      <c r="E1293" s="2" t="str">
        <f>"19851029"</f>
        <v>19851029</v>
      </c>
      <c r="F1293" s="2" t="str">
        <f>"39"</f>
        <v>39</v>
      </c>
      <c r="G1293" s="2" t="str">
        <f t="shared" si="277"/>
        <v>E78660</v>
      </c>
      <c r="H1293" s="2" t="str">
        <f t="shared" si="278"/>
        <v>가톨릭대학교 서울성모병원</v>
      </c>
      <c r="I1293" s="2" t="str">
        <f>"배치후"</f>
        <v>배치후</v>
      </c>
    </row>
    <row r="1294" spans="1:9" x14ac:dyDescent="0.3">
      <c r="A1294" s="2" t="str">
        <f t="shared" si="279"/>
        <v>20250806</v>
      </c>
      <c r="B1294" s="2" t="str">
        <f>"40581033"</f>
        <v>40581033</v>
      </c>
      <c r="C1294" s="2" t="str">
        <f>"오유근"</f>
        <v>오유근</v>
      </c>
      <c r="D1294" s="2" t="str">
        <f>"M"</f>
        <v>M</v>
      </c>
      <c r="E1294" s="2" t="str">
        <f>"19991001"</f>
        <v>19991001</v>
      </c>
      <c r="F1294" s="2" t="str">
        <f>"25"</f>
        <v>25</v>
      </c>
      <c r="G1294" s="2" t="str">
        <f t="shared" si="277"/>
        <v>E78660</v>
      </c>
      <c r="H1294" s="2" t="str">
        <f t="shared" si="278"/>
        <v>가톨릭대학교 서울성모병원</v>
      </c>
      <c r="I1294" s="2" t="str">
        <f>"배치후"</f>
        <v>배치후</v>
      </c>
    </row>
    <row r="1295" spans="1:9" x14ac:dyDescent="0.3">
      <c r="A1295" s="2" t="str">
        <f t="shared" si="279"/>
        <v>20250806</v>
      </c>
      <c r="B1295" s="2" t="str">
        <f>"40682110"</f>
        <v>40682110</v>
      </c>
      <c r="C1295" s="2" t="str">
        <f>"김우현"</f>
        <v>김우현</v>
      </c>
      <c r="D1295" s="2" t="str">
        <f>"M"</f>
        <v>M</v>
      </c>
      <c r="E1295" s="2" t="str">
        <f>"19920922"</f>
        <v>19920922</v>
      </c>
      <c r="F1295" s="2" t="str">
        <f>"32"</f>
        <v>32</v>
      </c>
      <c r="G1295" s="2" t="str">
        <f t="shared" si="277"/>
        <v>E78660</v>
      </c>
      <c r="H1295" s="2" t="str">
        <f t="shared" si="278"/>
        <v>가톨릭대학교 서울성모병원</v>
      </c>
      <c r="I1295" s="2" t="str">
        <f>"배치후"</f>
        <v>배치후</v>
      </c>
    </row>
    <row r="1296" spans="1:9" x14ac:dyDescent="0.3">
      <c r="A1296" s="2" t="str">
        <f t="shared" si="279"/>
        <v>20250806</v>
      </c>
      <c r="B1296" s="2" t="str">
        <f>"40753252"</f>
        <v>40753252</v>
      </c>
      <c r="C1296" s="2" t="str">
        <f>"박민수"</f>
        <v>박민수</v>
      </c>
      <c r="D1296" s="2" t="str">
        <f>"M"</f>
        <v>M</v>
      </c>
      <c r="E1296" s="2" t="str">
        <f>"20010423"</f>
        <v>20010423</v>
      </c>
      <c r="F1296" s="2" t="str">
        <f>"24"</f>
        <v>24</v>
      </c>
      <c r="G1296" s="2" t="str">
        <f t="shared" si="277"/>
        <v>E78660</v>
      </c>
      <c r="H1296" s="2" t="str">
        <f t="shared" si="278"/>
        <v>가톨릭대학교 서울성모병원</v>
      </c>
      <c r="I1296" s="2" t="str">
        <f>"배치후"</f>
        <v>배치후</v>
      </c>
    </row>
    <row r="1297" spans="1:9" x14ac:dyDescent="0.3">
      <c r="A1297" s="2" t="str">
        <f t="shared" si="279"/>
        <v>20250806</v>
      </c>
      <c r="B1297" s="2" t="str">
        <f>"8149685"</f>
        <v>8149685</v>
      </c>
      <c r="C1297" s="2" t="str">
        <f>"석현수"</f>
        <v>석현수</v>
      </c>
      <c r="D1297" s="2" t="str">
        <f>"M"</f>
        <v>M</v>
      </c>
      <c r="E1297" s="2" t="str">
        <f>"19730521"</f>
        <v>19730521</v>
      </c>
      <c r="F1297" s="2" t="str">
        <f>"52"</f>
        <v>52</v>
      </c>
      <c r="G1297" s="2" t="str">
        <f t="shared" si="277"/>
        <v>E78660</v>
      </c>
      <c r="H1297" s="2" t="str">
        <f t="shared" si="278"/>
        <v>가톨릭대학교 서울성모병원</v>
      </c>
      <c r="I1297" s="2" t="str">
        <f t="shared" ref="I1297:I1310" si="280">"특수"</f>
        <v>특수</v>
      </c>
    </row>
    <row r="1298" spans="1:9" x14ac:dyDescent="0.3">
      <c r="A1298" s="2" t="str">
        <f t="shared" ref="A1298:A1305" si="281">"20250807"</f>
        <v>20250807</v>
      </c>
      <c r="B1298" s="2" t="str">
        <f>"11243384"</f>
        <v>11243384</v>
      </c>
      <c r="C1298" s="2" t="str">
        <f>"방병문"</f>
        <v>방병문</v>
      </c>
      <c r="D1298" s="2" t="str">
        <f>"M"</f>
        <v>M</v>
      </c>
      <c r="E1298" s="2" t="str">
        <f>"19681019"</f>
        <v>19681019</v>
      </c>
      <c r="F1298" s="2" t="str">
        <f>"56"</f>
        <v>56</v>
      </c>
      <c r="G1298" s="2" t="str">
        <f t="shared" si="277"/>
        <v>E78660</v>
      </c>
      <c r="H1298" s="2" t="str">
        <f t="shared" si="278"/>
        <v>가톨릭대학교 서울성모병원</v>
      </c>
      <c r="I1298" s="2" t="str">
        <f t="shared" si="280"/>
        <v>특수</v>
      </c>
    </row>
    <row r="1299" spans="1:9" x14ac:dyDescent="0.3">
      <c r="A1299" s="2" t="str">
        <f t="shared" si="281"/>
        <v>20250807</v>
      </c>
      <c r="B1299" s="2" t="str">
        <f>"28981235"</f>
        <v>28981235</v>
      </c>
      <c r="C1299" s="2" t="str">
        <f>"김아현"</f>
        <v>김아현</v>
      </c>
      <c r="D1299" s="2" t="str">
        <f t="shared" ref="D1299:D1306" si="282">"F"</f>
        <v>F</v>
      </c>
      <c r="E1299" s="2" t="str">
        <f>"19921129"</f>
        <v>19921129</v>
      </c>
      <c r="F1299" s="2" t="str">
        <f>"32"</f>
        <v>32</v>
      </c>
      <c r="G1299" s="2" t="str">
        <f t="shared" si="277"/>
        <v>E78660</v>
      </c>
      <c r="H1299" s="2" t="str">
        <f t="shared" si="278"/>
        <v>가톨릭대학교 서울성모병원</v>
      </c>
      <c r="I1299" s="2" t="str">
        <f t="shared" si="280"/>
        <v>특수</v>
      </c>
    </row>
    <row r="1300" spans="1:9" x14ac:dyDescent="0.3">
      <c r="A1300" s="2" t="str">
        <f t="shared" si="281"/>
        <v>20250807</v>
      </c>
      <c r="B1300" s="2" t="str">
        <f>"33370445"</f>
        <v>33370445</v>
      </c>
      <c r="C1300" s="2" t="str">
        <f>"안광희"</f>
        <v>안광희</v>
      </c>
      <c r="D1300" s="2" t="str">
        <f t="shared" si="282"/>
        <v>F</v>
      </c>
      <c r="E1300" s="2" t="str">
        <f>"19950401"</f>
        <v>19950401</v>
      </c>
      <c r="F1300" s="2" t="str">
        <f>"30"</f>
        <v>30</v>
      </c>
      <c r="G1300" s="2" t="str">
        <f t="shared" si="277"/>
        <v>E78660</v>
      </c>
      <c r="H1300" s="2" t="str">
        <f t="shared" si="278"/>
        <v>가톨릭대학교 서울성모병원</v>
      </c>
      <c r="I1300" s="2" t="str">
        <f t="shared" si="280"/>
        <v>특수</v>
      </c>
    </row>
    <row r="1301" spans="1:9" x14ac:dyDescent="0.3">
      <c r="A1301" s="2" t="str">
        <f t="shared" si="281"/>
        <v>20250807</v>
      </c>
      <c r="B1301" s="2" t="str">
        <f>"33465674"</f>
        <v>33465674</v>
      </c>
      <c r="C1301" s="2" t="str">
        <f>"정소연"</f>
        <v>정소연</v>
      </c>
      <c r="D1301" s="2" t="str">
        <f t="shared" si="282"/>
        <v>F</v>
      </c>
      <c r="E1301" s="2" t="str">
        <f>"19951206"</f>
        <v>19951206</v>
      </c>
      <c r="F1301" s="2" t="str">
        <f>"29"</f>
        <v>29</v>
      </c>
      <c r="G1301" s="2" t="str">
        <f t="shared" si="277"/>
        <v>E78660</v>
      </c>
      <c r="H1301" s="2" t="str">
        <f t="shared" si="278"/>
        <v>가톨릭대학교 서울성모병원</v>
      </c>
      <c r="I1301" s="2" t="str">
        <f t="shared" si="280"/>
        <v>특수</v>
      </c>
    </row>
    <row r="1302" spans="1:9" x14ac:dyDescent="0.3">
      <c r="A1302" s="2" t="str">
        <f t="shared" si="281"/>
        <v>20250807</v>
      </c>
      <c r="B1302" s="2" t="str">
        <f>"38529711"</f>
        <v>38529711</v>
      </c>
      <c r="C1302" s="2" t="str">
        <f>"이가은"</f>
        <v>이가은</v>
      </c>
      <c r="D1302" s="2" t="str">
        <f t="shared" si="282"/>
        <v>F</v>
      </c>
      <c r="E1302" s="2" t="str">
        <f>"20001228"</f>
        <v>20001228</v>
      </c>
      <c r="F1302" s="2" t="str">
        <f>"24"</f>
        <v>24</v>
      </c>
      <c r="G1302" s="2" t="str">
        <f t="shared" si="277"/>
        <v>E78660</v>
      </c>
      <c r="H1302" s="2" t="str">
        <f t="shared" si="278"/>
        <v>가톨릭대학교 서울성모병원</v>
      </c>
      <c r="I1302" s="2" t="str">
        <f t="shared" si="280"/>
        <v>특수</v>
      </c>
    </row>
    <row r="1303" spans="1:9" x14ac:dyDescent="0.3">
      <c r="A1303" s="2" t="str">
        <f t="shared" si="281"/>
        <v>20250807</v>
      </c>
      <c r="B1303" s="2" t="str">
        <f>"39182685"</f>
        <v>39182685</v>
      </c>
      <c r="C1303" s="2" t="str">
        <f>"최윤정"</f>
        <v>최윤정</v>
      </c>
      <c r="D1303" s="2" t="str">
        <f t="shared" si="282"/>
        <v>F</v>
      </c>
      <c r="E1303" s="2" t="str">
        <f>"19700206"</f>
        <v>19700206</v>
      </c>
      <c r="F1303" s="2" t="str">
        <f>"55"</f>
        <v>55</v>
      </c>
      <c r="G1303" s="2" t="str">
        <f t="shared" si="277"/>
        <v>E78660</v>
      </c>
      <c r="H1303" s="2" t="str">
        <f t="shared" si="278"/>
        <v>가톨릭대학교 서울성모병원</v>
      </c>
      <c r="I1303" s="2" t="str">
        <f t="shared" si="280"/>
        <v>특수</v>
      </c>
    </row>
    <row r="1304" spans="1:9" x14ac:dyDescent="0.3">
      <c r="A1304" s="2" t="str">
        <f t="shared" si="281"/>
        <v>20250807</v>
      </c>
      <c r="B1304" s="2" t="str">
        <f>"6695256"</f>
        <v>6695256</v>
      </c>
      <c r="C1304" s="2" t="str">
        <f>"김진영"</f>
        <v>김진영</v>
      </c>
      <c r="D1304" s="2" t="str">
        <f t="shared" si="282"/>
        <v>F</v>
      </c>
      <c r="E1304" s="2" t="str">
        <f>"19780618"</f>
        <v>19780618</v>
      </c>
      <c r="F1304" s="2" t="str">
        <f>"47"</f>
        <v>47</v>
      </c>
      <c r="G1304" s="2" t="str">
        <f t="shared" si="277"/>
        <v>E78660</v>
      </c>
      <c r="H1304" s="2" t="str">
        <f t="shared" si="278"/>
        <v>가톨릭대학교 서울성모병원</v>
      </c>
      <c r="I1304" s="2" t="str">
        <f t="shared" si="280"/>
        <v>특수</v>
      </c>
    </row>
    <row r="1305" spans="1:9" x14ac:dyDescent="0.3">
      <c r="A1305" s="2" t="str">
        <f t="shared" si="281"/>
        <v>20250807</v>
      </c>
      <c r="B1305" s="2" t="str">
        <f>"7948711"</f>
        <v>7948711</v>
      </c>
      <c r="C1305" s="2" t="str">
        <f>"박수정"</f>
        <v>박수정</v>
      </c>
      <c r="D1305" s="2" t="str">
        <f t="shared" si="282"/>
        <v>F</v>
      </c>
      <c r="E1305" s="2" t="str">
        <f>"19690416"</f>
        <v>19690416</v>
      </c>
      <c r="F1305" s="2" t="str">
        <f>"56"</f>
        <v>56</v>
      </c>
      <c r="G1305" s="2" t="str">
        <f t="shared" si="277"/>
        <v>E78660</v>
      </c>
      <c r="H1305" s="2" t="str">
        <f t="shared" si="278"/>
        <v>가톨릭대학교 서울성모병원</v>
      </c>
      <c r="I1305" s="2" t="str">
        <f t="shared" si="280"/>
        <v>특수</v>
      </c>
    </row>
    <row r="1306" spans="1:9" x14ac:dyDescent="0.3">
      <c r="A1306" s="2" t="str">
        <f t="shared" ref="A1306:A1314" si="283">"20250811"</f>
        <v>20250811</v>
      </c>
      <c r="B1306" s="2" t="str">
        <f>"18994768"</f>
        <v>18994768</v>
      </c>
      <c r="C1306" s="2" t="str">
        <f>"김해숙"</f>
        <v>김해숙</v>
      </c>
      <c r="D1306" s="2" t="str">
        <f t="shared" si="282"/>
        <v>F</v>
      </c>
      <c r="E1306" s="2" t="str">
        <f>"19810213"</f>
        <v>19810213</v>
      </c>
      <c r="F1306" s="2" t="str">
        <f>"44"</f>
        <v>44</v>
      </c>
      <c r="G1306" s="2" t="str">
        <f t="shared" si="277"/>
        <v>E78660</v>
      </c>
      <c r="H1306" s="2" t="str">
        <f t="shared" si="278"/>
        <v>가톨릭대학교 서울성모병원</v>
      </c>
      <c r="I1306" s="2" t="str">
        <f t="shared" si="280"/>
        <v>특수</v>
      </c>
    </row>
    <row r="1307" spans="1:9" x14ac:dyDescent="0.3">
      <c r="A1307" s="2" t="str">
        <f t="shared" si="283"/>
        <v>20250811</v>
      </c>
      <c r="B1307" s="2" t="str">
        <f>"19111953"</f>
        <v>19111953</v>
      </c>
      <c r="C1307" s="2" t="str">
        <f>"문병현"</f>
        <v>문병현</v>
      </c>
      <c r="D1307" s="2" t="str">
        <f>"M"</f>
        <v>M</v>
      </c>
      <c r="E1307" s="2" t="str">
        <f>"19830601"</f>
        <v>19830601</v>
      </c>
      <c r="F1307" s="2" t="str">
        <f>"42"</f>
        <v>42</v>
      </c>
      <c r="G1307" s="2" t="str">
        <f t="shared" si="277"/>
        <v>E78660</v>
      </c>
      <c r="H1307" s="2" t="str">
        <f t="shared" si="278"/>
        <v>가톨릭대학교 서울성모병원</v>
      </c>
      <c r="I1307" s="2" t="str">
        <f t="shared" si="280"/>
        <v>특수</v>
      </c>
    </row>
    <row r="1308" spans="1:9" x14ac:dyDescent="0.3">
      <c r="A1308" s="2" t="str">
        <f t="shared" si="283"/>
        <v>20250811</v>
      </c>
      <c r="B1308" s="2" t="str">
        <f>"21548362"</f>
        <v>21548362</v>
      </c>
      <c r="C1308" s="2" t="str">
        <f>"최근애"</f>
        <v>최근애</v>
      </c>
      <c r="D1308" s="2" t="str">
        <f>"F"</f>
        <v>F</v>
      </c>
      <c r="E1308" s="2" t="str">
        <f>"19830526"</f>
        <v>19830526</v>
      </c>
      <c r="F1308" s="2" t="str">
        <f>"42"</f>
        <v>42</v>
      </c>
      <c r="G1308" s="2" t="str">
        <f t="shared" si="277"/>
        <v>E78660</v>
      </c>
      <c r="H1308" s="2" t="str">
        <f t="shared" si="278"/>
        <v>가톨릭대학교 서울성모병원</v>
      </c>
      <c r="I1308" s="2" t="str">
        <f t="shared" si="280"/>
        <v>특수</v>
      </c>
    </row>
    <row r="1309" spans="1:9" x14ac:dyDescent="0.3">
      <c r="A1309" s="2" t="str">
        <f t="shared" si="283"/>
        <v>20250811</v>
      </c>
      <c r="B1309" s="2" t="str">
        <f>"22512702"</f>
        <v>22512702</v>
      </c>
      <c r="C1309" s="2" t="str">
        <f>"정혜진"</f>
        <v>정혜진</v>
      </c>
      <c r="D1309" s="2" t="str">
        <f>"F"</f>
        <v>F</v>
      </c>
      <c r="E1309" s="2" t="str">
        <f>"19771030"</f>
        <v>19771030</v>
      </c>
      <c r="F1309" s="2" t="str">
        <f>"47"</f>
        <v>47</v>
      </c>
      <c r="G1309" s="2" t="str">
        <f t="shared" si="277"/>
        <v>E78660</v>
      </c>
      <c r="H1309" s="2" t="str">
        <f t="shared" si="278"/>
        <v>가톨릭대학교 서울성모병원</v>
      </c>
      <c r="I1309" s="2" t="str">
        <f t="shared" si="280"/>
        <v>특수</v>
      </c>
    </row>
    <row r="1310" spans="1:9" x14ac:dyDescent="0.3">
      <c r="A1310" s="2" t="str">
        <f t="shared" si="283"/>
        <v>20250811</v>
      </c>
      <c r="B1310" s="2" t="str">
        <f>"38286802"</f>
        <v>38286802</v>
      </c>
      <c r="C1310" s="2" t="str">
        <f>"조수영"</f>
        <v>조수영</v>
      </c>
      <c r="D1310" s="2" t="str">
        <f>"F"</f>
        <v>F</v>
      </c>
      <c r="E1310" s="2" t="str">
        <f>"19970202"</f>
        <v>19970202</v>
      </c>
      <c r="F1310" s="2" t="str">
        <f>"28"</f>
        <v>28</v>
      </c>
      <c r="G1310" s="2" t="str">
        <f t="shared" si="277"/>
        <v>E78660</v>
      </c>
      <c r="H1310" s="2" t="str">
        <f t="shared" si="278"/>
        <v>가톨릭대학교 서울성모병원</v>
      </c>
      <c r="I1310" s="2" t="str">
        <f t="shared" si="280"/>
        <v>특수</v>
      </c>
    </row>
    <row r="1311" spans="1:9" x14ac:dyDescent="0.3">
      <c r="A1311" s="2" t="str">
        <f t="shared" si="283"/>
        <v>20250811</v>
      </c>
      <c r="B1311" s="2" t="str">
        <f>"38287136"</f>
        <v>38287136</v>
      </c>
      <c r="C1311" s="2" t="str">
        <f>"박지민"</f>
        <v>박지민</v>
      </c>
      <c r="D1311" s="2" t="str">
        <f>"F"</f>
        <v>F</v>
      </c>
      <c r="E1311" s="2" t="str">
        <f>"19960805"</f>
        <v>19960805</v>
      </c>
      <c r="F1311" s="2" t="str">
        <f>"29"</f>
        <v>29</v>
      </c>
      <c r="G1311" s="2" t="str">
        <f t="shared" si="277"/>
        <v>E78660</v>
      </c>
      <c r="H1311" s="2" t="str">
        <f t="shared" si="278"/>
        <v>가톨릭대학교 서울성모병원</v>
      </c>
      <c r="I1311" s="2" t="str">
        <f>"배치후"</f>
        <v>배치후</v>
      </c>
    </row>
    <row r="1312" spans="1:9" x14ac:dyDescent="0.3">
      <c r="A1312" s="2" t="str">
        <f t="shared" si="283"/>
        <v>20250811</v>
      </c>
      <c r="B1312" s="2" t="str">
        <f>"39857386"</f>
        <v>39857386</v>
      </c>
      <c r="C1312" s="2" t="str">
        <f>"송시영"</f>
        <v>송시영</v>
      </c>
      <c r="D1312" s="2" t="str">
        <f>"F"</f>
        <v>F</v>
      </c>
      <c r="E1312" s="2" t="str">
        <f>"19850808"</f>
        <v>19850808</v>
      </c>
      <c r="F1312" s="2" t="str">
        <f>"40"</f>
        <v>40</v>
      </c>
      <c r="G1312" s="2" t="str">
        <f t="shared" si="277"/>
        <v>E78660</v>
      </c>
      <c r="H1312" s="2" t="str">
        <f t="shared" si="278"/>
        <v>가톨릭대학교 서울성모병원</v>
      </c>
      <c r="I1312" s="2" t="str">
        <f>"배치후"</f>
        <v>배치후</v>
      </c>
    </row>
    <row r="1313" spans="1:9" x14ac:dyDescent="0.3">
      <c r="A1313" s="2" t="str">
        <f t="shared" si="283"/>
        <v>20250811</v>
      </c>
      <c r="B1313" s="2" t="str">
        <f>"40682154"</f>
        <v>40682154</v>
      </c>
      <c r="C1313" s="2" t="str">
        <f>"임현종"</f>
        <v>임현종</v>
      </c>
      <c r="D1313" s="2" t="str">
        <f>"M"</f>
        <v>M</v>
      </c>
      <c r="E1313" s="2" t="str">
        <f>"19991212"</f>
        <v>19991212</v>
      </c>
      <c r="F1313" s="2" t="str">
        <f>"25"</f>
        <v>25</v>
      </c>
      <c r="G1313" s="2" t="str">
        <f t="shared" si="277"/>
        <v>E78660</v>
      </c>
      <c r="H1313" s="2" t="str">
        <f t="shared" si="278"/>
        <v>가톨릭대학교 서울성모병원</v>
      </c>
      <c r="I1313" s="2" t="str">
        <f>"배치후"</f>
        <v>배치후</v>
      </c>
    </row>
    <row r="1314" spans="1:9" x14ac:dyDescent="0.3">
      <c r="A1314" s="2" t="str">
        <f t="shared" si="283"/>
        <v>20250811</v>
      </c>
      <c r="B1314" s="2" t="str">
        <f>"8629939"</f>
        <v>8629939</v>
      </c>
      <c r="C1314" s="2" t="str">
        <f>"김미경"</f>
        <v>김미경</v>
      </c>
      <c r="D1314" s="2" t="str">
        <f>"F"</f>
        <v>F</v>
      </c>
      <c r="E1314" s="2" t="str">
        <f>"19710422"</f>
        <v>19710422</v>
      </c>
      <c r="F1314" s="2" t="str">
        <f>"54"</f>
        <v>54</v>
      </c>
      <c r="G1314" s="2" t="str">
        <f t="shared" si="277"/>
        <v>E78660</v>
      </c>
      <c r="H1314" s="2" t="str">
        <f t="shared" si="278"/>
        <v>가톨릭대학교 서울성모병원</v>
      </c>
      <c r="I1314" s="2" t="str">
        <f>"특수"</f>
        <v>특수</v>
      </c>
    </row>
    <row r="1315" spans="1:9" x14ac:dyDescent="0.3">
      <c r="A1315" s="2" t="str">
        <f t="shared" ref="A1315:A1320" si="284">"20250812"</f>
        <v>20250812</v>
      </c>
      <c r="B1315" s="2" t="str">
        <f>"15579256"</f>
        <v>15579256</v>
      </c>
      <c r="C1315" s="2" t="str">
        <f>"신미령"</f>
        <v>신미령</v>
      </c>
      <c r="D1315" s="2" t="str">
        <f>"F"</f>
        <v>F</v>
      </c>
      <c r="E1315" s="2" t="str">
        <f>"19790625"</f>
        <v>19790625</v>
      </c>
      <c r="F1315" s="2" t="str">
        <f>"46"</f>
        <v>46</v>
      </c>
      <c r="G1315" s="2" t="str">
        <f t="shared" si="277"/>
        <v>E78660</v>
      </c>
      <c r="H1315" s="2" t="str">
        <f t="shared" si="278"/>
        <v>가톨릭대학교 서울성모병원</v>
      </c>
      <c r="I1315" s="2" t="str">
        <f>"특수"</f>
        <v>특수</v>
      </c>
    </row>
    <row r="1316" spans="1:9" x14ac:dyDescent="0.3">
      <c r="A1316" s="2" t="str">
        <f t="shared" si="284"/>
        <v>20250812</v>
      </c>
      <c r="B1316" s="2" t="str">
        <f>"19030917"</f>
        <v>19030917</v>
      </c>
      <c r="C1316" s="2" t="str">
        <f>"강영지"</f>
        <v>강영지</v>
      </c>
      <c r="D1316" s="2" t="str">
        <f>"F"</f>
        <v>F</v>
      </c>
      <c r="E1316" s="2" t="str">
        <f>"19850529"</f>
        <v>19850529</v>
      </c>
      <c r="F1316" s="2" t="str">
        <f>"40"</f>
        <v>40</v>
      </c>
      <c r="G1316" s="2" t="str">
        <f t="shared" si="277"/>
        <v>E78660</v>
      </c>
      <c r="H1316" s="2" t="str">
        <f t="shared" si="278"/>
        <v>가톨릭대학교 서울성모병원</v>
      </c>
      <c r="I1316" s="2" t="str">
        <f>"특수"</f>
        <v>특수</v>
      </c>
    </row>
    <row r="1317" spans="1:9" x14ac:dyDescent="0.3">
      <c r="A1317" s="2" t="str">
        <f t="shared" si="284"/>
        <v>20250812</v>
      </c>
      <c r="B1317" s="2" t="str">
        <f>"23676414"</f>
        <v>23676414</v>
      </c>
      <c r="C1317" s="2" t="str">
        <f>"정현진"</f>
        <v>정현진</v>
      </c>
      <c r="D1317" s="2" t="str">
        <f>"F"</f>
        <v>F</v>
      </c>
      <c r="E1317" s="2" t="str">
        <f>"19930222"</f>
        <v>19930222</v>
      </c>
      <c r="F1317" s="2" t="str">
        <f>"32"</f>
        <v>32</v>
      </c>
      <c r="G1317" s="2" t="str">
        <f t="shared" si="277"/>
        <v>E78660</v>
      </c>
      <c r="H1317" s="2" t="str">
        <f t="shared" si="278"/>
        <v>가톨릭대학교 서울성모병원</v>
      </c>
      <c r="I1317" s="2" t="str">
        <f>"특수"</f>
        <v>특수</v>
      </c>
    </row>
    <row r="1318" spans="1:9" x14ac:dyDescent="0.3">
      <c r="A1318" s="2" t="str">
        <f t="shared" si="284"/>
        <v>20250812</v>
      </c>
      <c r="B1318" s="2" t="str">
        <f>"32412314"</f>
        <v>32412314</v>
      </c>
      <c r="C1318" s="2" t="str">
        <f>"김민호"</f>
        <v>김민호</v>
      </c>
      <c r="D1318" s="2" t="str">
        <f>"M"</f>
        <v>M</v>
      </c>
      <c r="E1318" s="2" t="str">
        <f>"19930227"</f>
        <v>19930227</v>
      </c>
      <c r="F1318" s="2" t="str">
        <f>"32"</f>
        <v>32</v>
      </c>
      <c r="G1318" s="2" t="str">
        <f t="shared" si="277"/>
        <v>E78660</v>
      </c>
      <c r="H1318" s="2" t="str">
        <f t="shared" si="278"/>
        <v>가톨릭대학교 서울성모병원</v>
      </c>
      <c r="I1318" s="2" t="str">
        <f>"특수"</f>
        <v>특수</v>
      </c>
    </row>
    <row r="1319" spans="1:9" x14ac:dyDescent="0.3">
      <c r="A1319" s="2" t="str">
        <f t="shared" si="284"/>
        <v>20250812</v>
      </c>
      <c r="B1319" s="2" t="str">
        <f>"40685673"</f>
        <v>40685673</v>
      </c>
      <c r="C1319" s="2" t="str">
        <f>"이은솔"</f>
        <v>이은솔</v>
      </c>
      <c r="D1319" s="2" t="str">
        <f>"F"</f>
        <v>F</v>
      </c>
      <c r="E1319" s="2" t="str">
        <f>"19971207"</f>
        <v>19971207</v>
      </c>
      <c r="F1319" s="2" t="str">
        <f>"27"</f>
        <v>27</v>
      </c>
      <c r="G1319" s="2" t="str">
        <f t="shared" si="277"/>
        <v>E78660</v>
      </c>
      <c r="H1319" s="2" t="str">
        <f t="shared" si="278"/>
        <v>가톨릭대학교 서울성모병원</v>
      </c>
      <c r="I1319" s="2" t="str">
        <f>"배치후"</f>
        <v>배치후</v>
      </c>
    </row>
    <row r="1320" spans="1:9" x14ac:dyDescent="0.3">
      <c r="A1320" s="2" t="str">
        <f t="shared" si="284"/>
        <v>20250812</v>
      </c>
      <c r="B1320" s="2" t="str">
        <f>"9631996"</f>
        <v>9631996</v>
      </c>
      <c r="C1320" s="2" t="str">
        <f>"석선영"</f>
        <v>석선영</v>
      </c>
      <c r="D1320" s="2" t="str">
        <f>"F"</f>
        <v>F</v>
      </c>
      <c r="E1320" s="2" t="str">
        <f>"19730709"</f>
        <v>19730709</v>
      </c>
      <c r="F1320" s="2" t="str">
        <f>"52"</f>
        <v>52</v>
      </c>
      <c r="G1320" s="2" t="str">
        <f t="shared" si="277"/>
        <v>E78660</v>
      </c>
      <c r="H1320" s="2" t="str">
        <f t="shared" si="278"/>
        <v>가톨릭대학교 서울성모병원</v>
      </c>
      <c r="I1320" s="2" t="str">
        <f t="shared" ref="I1320:I1343" si="285">"특수"</f>
        <v>특수</v>
      </c>
    </row>
    <row r="1321" spans="1:9" x14ac:dyDescent="0.3">
      <c r="A1321" s="2" t="str">
        <f t="shared" ref="A1321:A1329" si="286">"20250813"</f>
        <v>20250813</v>
      </c>
      <c r="B1321" s="2" t="str">
        <f>"14515512"</f>
        <v>14515512</v>
      </c>
      <c r="C1321" s="2" t="str">
        <f>"이종만"</f>
        <v>이종만</v>
      </c>
      <c r="D1321" s="2" t="str">
        <f>"M"</f>
        <v>M</v>
      </c>
      <c r="E1321" s="2" t="str">
        <f>"19710430"</f>
        <v>19710430</v>
      </c>
      <c r="F1321" s="2" t="str">
        <f>"54"</f>
        <v>54</v>
      </c>
      <c r="G1321" s="2" t="str">
        <f t="shared" si="277"/>
        <v>E78660</v>
      </c>
      <c r="H1321" s="2" t="str">
        <f t="shared" si="278"/>
        <v>가톨릭대학교 서울성모병원</v>
      </c>
      <c r="I1321" s="2" t="str">
        <f t="shared" si="285"/>
        <v>특수</v>
      </c>
    </row>
    <row r="1322" spans="1:9" x14ac:dyDescent="0.3">
      <c r="A1322" s="2" t="str">
        <f t="shared" si="286"/>
        <v>20250813</v>
      </c>
      <c r="B1322" s="2" t="str">
        <f>"15226149"</f>
        <v>15226149</v>
      </c>
      <c r="C1322" s="2" t="str">
        <f>"구애경"</f>
        <v>구애경</v>
      </c>
      <c r="D1322" s="2" t="str">
        <f>"F"</f>
        <v>F</v>
      </c>
      <c r="E1322" s="2" t="str">
        <f>"19790506"</f>
        <v>19790506</v>
      </c>
      <c r="F1322" s="2" t="str">
        <f>"46"</f>
        <v>46</v>
      </c>
      <c r="G1322" s="2" t="str">
        <f t="shared" si="277"/>
        <v>E78660</v>
      </c>
      <c r="H1322" s="2" t="str">
        <f t="shared" si="278"/>
        <v>가톨릭대학교 서울성모병원</v>
      </c>
      <c r="I1322" s="2" t="str">
        <f t="shared" si="285"/>
        <v>특수</v>
      </c>
    </row>
    <row r="1323" spans="1:9" x14ac:dyDescent="0.3">
      <c r="A1323" s="2" t="str">
        <f t="shared" si="286"/>
        <v>20250813</v>
      </c>
      <c r="B1323" s="2" t="str">
        <f>"19194446"</f>
        <v>19194446</v>
      </c>
      <c r="C1323" s="2" t="str">
        <f>"신소영"</f>
        <v>신소영</v>
      </c>
      <c r="D1323" s="2" t="str">
        <f>"F"</f>
        <v>F</v>
      </c>
      <c r="E1323" s="2" t="str">
        <f>"19840321"</f>
        <v>19840321</v>
      </c>
      <c r="F1323" s="2" t="str">
        <f>"41"</f>
        <v>41</v>
      </c>
      <c r="G1323" s="2" t="str">
        <f t="shared" si="277"/>
        <v>E78660</v>
      </c>
      <c r="H1323" s="2" t="str">
        <f t="shared" si="278"/>
        <v>가톨릭대학교 서울성모병원</v>
      </c>
      <c r="I1323" s="2" t="str">
        <f t="shared" si="285"/>
        <v>특수</v>
      </c>
    </row>
    <row r="1324" spans="1:9" x14ac:dyDescent="0.3">
      <c r="A1324" s="2" t="str">
        <f t="shared" si="286"/>
        <v>20250813</v>
      </c>
      <c r="B1324" s="2" t="str">
        <f>"23565086"</f>
        <v>23565086</v>
      </c>
      <c r="C1324" s="2" t="str">
        <f>"이웅"</f>
        <v>이웅</v>
      </c>
      <c r="D1324" s="2" t="str">
        <f>"M"</f>
        <v>M</v>
      </c>
      <c r="E1324" s="2" t="str">
        <f>"19840131"</f>
        <v>19840131</v>
      </c>
      <c r="F1324" s="2" t="str">
        <f>"41"</f>
        <v>41</v>
      </c>
      <c r="G1324" s="2" t="str">
        <f t="shared" si="277"/>
        <v>E78660</v>
      </c>
      <c r="H1324" s="2" t="str">
        <f t="shared" si="278"/>
        <v>가톨릭대학교 서울성모병원</v>
      </c>
      <c r="I1324" s="2" t="str">
        <f t="shared" si="285"/>
        <v>특수</v>
      </c>
    </row>
    <row r="1325" spans="1:9" x14ac:dyDescent="0.3">
      <c r="A1325" s="2" t="str">
        <f t="shared" si="286"/>
        <v>20250813</v>
      </c>
      <c r="B1325" s="2" t="str">
        <f>"23791256"</f>
        <v>23791256</v>
      </c>
      <c r="C1325" s="2" t="str">
        <f>"송성용"</f>
        <v>송성용</v>
      </c>
      <c r="D1325" s="2" t="str">
        <f>"M"</f>
        <v>M</v>
      </c>
      <c r="E1325" s="2" t="str">
        <f>"19821212"</f>
        <v>19821212</v>
      </c>
      <c r="F1325" s="2" t="str">
        <f>"42"</f>
        <v>42</v>
      </c>
      <c r="G1325" s="2" t="str">
        <f t="shared" si="277"/>
        <v>E78660</v>
      </c>
      <c r="H1325" s="2" t="str">
        <f t="shared" si="278"/>
        <v>가톨릭대학교 서울성모병원</v>
      </c>
      <c r="I1325" s="2" t="str">
        <f t="shared" si="285"/>
        <v>특수</v>
      </c>
    </row>
    <row r="1326" spans="1:9" x14ac:dyDescent="0.3">
      <c r="A1326" s="2" t="str">
        <f t="shared" si="286"/>
        <v>20250813</v>
      </c>
      <c r="B1326" s="2" t="str">
        <f>"31366793"</f>
        <v>31366793</v>
      </c>
      <c r="C1326" s="2" t="str">
        <f>"이지수"</f>
        <v>이지수</v>
      </c>
      <c r="D1326" s="2" t="str">
        <f>"M"</f>
        <v>M</v>
      </c>
      <c r="E1326" s="2" t="str">
        <f>"19920404"</f>
        <v>19920404</v>
      </c>
      <c r="F1326" s="2" t="str">
        <f>"33"</f>
        <v>33</v>
      </c>
      <c r="G1326" s="2" t="str">
        <f t="shared" si="277"/>
        <v>E78660</v>
      </c>
      <c r="H1326" s="2" t="str">
        <f t="shared" si="278"/>
        <v>가톨릭대학교 서울성모병원</v>
      </c>
      <c r="I1326" s="2" t="str">
        <f t="shared" si="285"/>
        <v>특수</v>
      </c>
    </row>
    <row r="1327" spans="1:9" x14ac:dyDescent="0.3">
      <c r="A1327" s="2" t="str">
        <f t="shared" si="286"/>
        <v>20250813</v>
      </c>
      <c r="B1327" s="2" t="str">
        <f>"31944872"</f>
        <v>31944872</v>
      </c>
      <c r="C1327" s="2" t="str">
        <f>"강효정"</f>
        <v>강효정</v>
      </c>
      <c r="D1327" s="2" t="str">
        <f>"F"</f>
        <v>F</v>
      </c>
      <c r="E1327" s="2" t="str">
        <f>"19910417"</f>
        <v>19910417</v>
      </c>
      <c r="F1327" s="2" t="str">
        <f>"34"</f>
        <v>34</v>
      </c>
      <c r="G1327" s="2" t="str">
        <f t="shared" si="277"/>
        <v>E78660</v>
      </c>
      <c r="H1327" s="2" t="str">
        <f t="shared" si="278"/>
        <v>가톨릭대학교 서울성모병원</v>
      </c>
      <c r="I1327" s="2" t="str">
        <f t="shared" si="285"/>
        <v>특수</v>
      </c>
    </row>
    <row r="1328" spans="1:9" x14ac:dyDescent="0.3">
      <c r="A1328" s="2" t="str">
        <f t="shared" si="286"/>
        <v>20250813</v>
      </c>
      <c r="B1328" s="2" t="str">
        <f>"40468101"</f>
        <v>40468101</v>
      </c>
      <c r="C1328" s="2" t="str">
        <f>"김민정"</f>
        <v>김민정</v>
      </c>
      <c r="D1328" s="2" t="str">
        <f>"F"</f>
        <v>F</v>
      </c>
      <c r="E1328" s="2" t="str">
        <f>"19750203"</f>
        <v>19750203</v>
      </c>
      <c r="F1328" s="2" t="str">
        <f>"50"</f>
        <v>50</v>
      </c>
      <c r="G1328" s="2" t="str">
        <f t="shared" si="277"/>
        <v>E78660</v>
      </c>
      <c r="H1328" s="2" t="str">
        <f t="shared" si="278"/>
        <v>가톨릭대학교 서울성모병원</v>
      </c>
      <c r="I1328" s="2" t="str">
        <f t="shared" si="285"/>
        <v>특수</v>
      </c>
    </row>
    <row r="1329" spans="1:9" x14ac:dyDescent="0.3">
      <c r="A1329" s="2" t="str">
        <f t="shared" si="286"/>
        <v>20250813</v>
      </c>
      <c r="B1329" s="2" t="str">
        <f>"4764891"</f>
        <v>4764891</v>
      </c>
      <c r="C1329" s="2" t="str">
        <f>"최원석"</f>
        <v>최원석</v>
      </c>
      <c r="D1329" s="2" t="str">
        <f>"M"</f>
        <v>M</v>
      </c>
      <c r="E1329" s="2" t="str">
        <f>"19850819"</f>
        <v>19850819</v>
      </c>
      <c r="F1329" s="2" t="str">
        <f>"40"</f>
        <v>40</v>
      </c>
      <c r="G1329" s="2" t="str">
        <f t="shared" si="277"/>
        <v>E78660</v>
      </c>
      <c r="H1329" s="2" t="str">
        <f t="shared" si="278"/>
        <v>가톨릭대학교 서울성모병원</v>
      </c>
      <c r="I1329" s="2" t="str">
        <f t="shared" si="285"/>
        <v>특수</v>
      </c>
    </row>
    <row r="1330" spans="1:9" x14ac:dyDescent="0.3">
      <c r="A1330" s="2" t="str">
        <f t="shared" ref="A1330:A1336" si="287">"20250814"</f>
        <v>20250814</v>
      </c>
      <c r="B1330" s="2" t="str">
        <f>"16742458"</f>
        <v>16742458</v>
      </c>
      <c r="C1330" s="2" t="str">
        <f>"유현정"</f>
        <v>유현정</v>
      </c>
      <c r="D1330" s="2" t="str">
        <f>"F"</f>
        <v>F</v>
      </c>
      <c r="E1330" s="2" t="str">
        <f>"19850914"</f>
        <v>19850914</v>
      </c>
      <c r="F1330" s="2" t="str">
        <f>"39"</f>
        <v>39</v>
      </c>
      <c r="G1330" s="2" t="str">
        <f t="shared" si="277"/>
        <v>E78660</v>
      </c>
      <c r="H1330" s="2" t="str">
        <f t="shared" si="278"/>
        <v>가톨릭대학교 서울성모병원</v>
      </c>
      <c r="I1330" s="2" t="str">
        <f t="shared" si="285"/>
        <v>특수</v>
      </c>
    </row>
    <row r="1331" spans="1:9" x14ac:dyDescent="0.3">
      <c r="A1331" s="2" t="str">
        <f t="shared" si="287"/>
        <v>20250814</v>
      </c>
      <c r="B1331" s="2" t="str">
        <f>"17941410"</f>
        <v>17941410</v>
      </c>
      <c r="C1331" s="2" t="str">
        <f>"조봉래"</f>
        <v>조봉래</v>
      </c>
      <c r="D1331" s="2" t="str">
        <f>"M"</f>
        <v>M</v>
      </c>
      <c r="E1331" s="2" t="str">
        <f>"19790218"</f>
        <v>19790218</v>
      </c>
      <c r="F1331" s="2" t="str">
        <f>"46"</f>
        <v>46</v>
      </c>
      <c r="G1331" s="2" t="str">
        <f t="shared" si="277"/>
        <v>E78660</v>
      </c>
      <c r="H1331" s="2" t="str">
        <f t="shared" si="278"/>
        <v>가톨릭대학교 서울성모병원</v>
      </c>
      <c r="I1331" s="2" t="str">
        <f t="shared" si="285"/>
        <v>특수</v>
      </c>
    </row>
    <row r="1332" spans="1:9" x14ac:dyDescent="0.3">
      <c r="A1332" s="2" t="str">
        <f t="shared" si="287"/>
        <v>20250814</v>
      </c>
      <c r="B1332" s="2" t="str">
        <f>"26352465"</f>
        <v>26352465</v>
      </c>
      <c r="C1332" s="2" t="str">
        <f>"방현성"</f>
        <v>방현성</v>
      </c>
      <c r="D1332" s="2" t="str">
        <f>"M"</f>
        <v>M</v>
      </c>
      <c r="E1332" s="2" t="str">
        <f>"19880504"</f>
        <v>19880504</v>
      </c>
      <c r="F1332" s="2" t="str">
        <f>"37"</f>
        <v>37</v>
      </c>
      <c r="G1332" s="2" t="str">
        <f t="shared" si="277"/>
        <v>E78660</v>
      </c>
      <c r="H1332" s="2" t="str">
        <f t="shared" si="278"/>
        <v>가톨릭대학교 서울성모병원</v>
      </c>
      <c r="I1332" s="2" t="str">
        <f t="shared" si="285"/>
        <v>특수</v>
      </c>
    </row>
    <row r="1333" spans="1:9" x14ac:dyDescent="0.3">
      <c r="A1333" s="2" t="str">
        <f t="shared" si="287"/>
        <v>20250814</v>
      </c>
      <c r="B1333" s="2" t="str">
        <f>"35505943"</f>
        <v>35505943</v>
      </c>
      <c r="C1333" s="2" t="str">
        <f>"정윤하"</f>
        <v>정윤하</v>
      </c>
      <c r="D1333" s="2" t="str">
        <f>"F"</f>
        <v>F</v>
      </c>
      <c r="E1333" s="2" t="str">
        <f>"19971029"</f>
        <v>19971029</v>
      </c>
      <c r="F1333" s="2" t="str">
        <f>"27"</f>
        <v>27</v>
      </c>
      <c r="G1333" s="2" t="str">
        <f t="shared" si="277"/>
        <v>E78660</v>
      </c>
      <c r="H1333" s="2" t="str">
        <f t="shared" si="278"/>
        <v>가톨릭대학교 서울성모병원</v>
      </c>
      <c r="I1333" s="2" t="str">
        <f t="shared" si="285"/>
        <v>특수</v>
      </c>
    </row>
    <row r="1334" spans="1:9" x14ac:dyDescent="0.3">
      <c r="A1334" s="2" t="str">
        <f t="shared" si="287"/>
        <v>20250814</v>
      </c>
      <c r="B1334" s="2" t="str">
        <f>"40753241"</f>
        <v>40753241</v>
      </c>
      <c r="C1334" s="2" t="str">
        <f>"송민기"</f>
        <v>송민기</v>
      </c>
      <c r="D1334" s="2" t="str">
        <f>"M"</f>
        <v>M</v>
      </c>
      <c r="E1334" s="2" t="str">
        <f>"19990901"</f>
        <v>19990901</v>
      </c>
      <c r="F1334" s="2" t="str">
        <f>"25"</f>
        <v>25</v>
      </c>
      <c r="G1334" s="2" t="str">
        <f t="shared" si="277"/>
        <v>E78660</v>
      </c>
      <c r="H1334" s="2" t="str">
        <f t="shared" si="278"/>
        <v>가톨릭대학교 서울성모병원</v>
      </c>
      <c r="I1334" s="2" t="str">
        <f t="shared" si="285"/>
        <v>특수</v>
      </c>
    </row>
    <row r="1335" spans="1:9" x14ac:dyDescent="0.3">
      <c r="A1335" s="2" t="str">
        <f t="shared" si="287"/>
        <v>20250814</v>
      </c>
      <c r="B1335" s="2" t="str">
        <f>"9571172"</f>
        <v>9571172</v>
      </c>
      <c r="C1335" s="2" t="str">
        <f>"이은자"</f>
        <v>이은자</v>
      </c>
      <c r="D1335" s="2" t="str">
        <f t="shared" ref="D1335:D1340" si="288">"F"</f>
        <v>F</v>
      </c>
      <c r="E1335" s="2" t="str">
        <f>"19690926"</f>
        <v>19690926</v>
      </c>
      <c r="F1335" s="2" t="str">
        <f>"55"</f>
        <v>55</v>
      </c>
      <c r="G1335" s="2" t="str">
        <f t="shared" si="277"/>
        <v>E78660</v>
      </c>
      <c r="H1335" s="2" t="str">
        <f t="shared" si="278"/>
        <v>가톨릭대학교 서울성모병원</v>
      </c>
      <c r="I1335" s="2" t="str">
        <f t="shared" si="285"/>
        <v>특수</v>
      </c>
    </row>
    <row r="1336" spans="1:9" x14ac:dyDescent="0.3">
      <c r="A1336" s="2" t="str">
        <f t="shared" si="287"/>
        <v>20250814</v>
      </c>
      <c r="B1336" s="2" t="str">
        <f>"9923364"</f>
        <v>9923364</v>
      </c>
      <c r="C1336" s="2" t="str">
        <f>"고은경"</f>
        <v>고은경</v>
      </c>
      <c r="D1336" s="2" t="str">
        <f t="shared" si="288"/>
        <v>F</v>
      </c>
      <c r="E1336" s="2" t="str">
        <f>"19770401"</f>
        <v>19770401</v>
      </c>
      <c r="F1336" s="2" t="str">
        <f>"48"</f>
        <v>48</v>
      </c>
      <c r="G1336" s="2" t="str">
        <f t="shared" si="277"/>
        <v>E78660</v>
      </c>
      <c r="H1336" s="2" t="str">
        <f t="shared" si="278"/>
        <v>가톨릭대학교 서울성모병원</v>
      </c>
      <c r="I1336" s="2" t="str">
        <f t="shared" si="285"/>
        <v>특수</v>
      </c>
    </row>
    <row r="1337" spans="1:9" x14ac:dyDescent="0.3">
      <c r="A1337" s="2" t="str">
        <f t="shared" ref="A1337:A1350" si="289">"20250818"</f>
        <v>20250818</v>
      </c>
      <c r="B1337" s="2" t="str">
        <f>"10864140"</f>
        <v>10864140</v>
      </c>
      <c r="C1337" s="2" t="str">
        <f>"한아연"</f>
        <v>한아연</v>
      </c>
      <c r="D1337" s="2" t="str">
        <f t="shared" si="288"/>
        <v>F</v>
      </c>
      <c r="E1337" s="2" t="str">
        <f>"19751230"</f>
        <v>19751230</v>
      </c>
      <c r="F1337" s="2" t="str">
        <f>"49"</f>
        <v>49</v>
      </c>
      <c r="G1337" s="2" t="str">
        <f t="shared" si="277"/>
        <v>E78660</v>
      </c>
      <c r="H1337" s="2" t="str">
        <f t="shared" si="278"/>
        <v>가톨릭대학교 서울성모병원</v>
      </c>
      <c r="I1337" s="2" t="str">
        <f t="shared" si="285"/>
        <v>특수</v>
      </c>
    </row>
    <row r="1338" spans="1:9" x14ac:dyDescent="0.3">
      <c r="A1338" s="2" t="str">
        <f t="shared" si="289"/>
        <v>20250818</v>
      </c>
      <c r="B1338" s="2" t="str">
        <f>"21298223"</f>
        <v>21298223</v>
      </c>
      <c r="C1338" s="2" t="str">
        <f>"유옥리"</f>
        <v>유옥리</v>
      </c>
      <c r="D1338" s="2" t="str">
        <f t="shared" si="288"/>
        <v>F</v>
      </c>
      <c r="E1338" s="2" t="str">
        <f>"19840301"</f>
        <v>19840301</v>
      </c>
      <c r="F1338" s="2" t="str">
        <f>"41"</f>
        <v>41</v>
      </c>
      <c r="G1338" s="2" t="str">
        <f t="shared" si="277"/>
        <v>E78660</v>
      </c>
      <c r="H1338" s="2" t="str">
        <f t="shared" si="278"/>
        <v>가톨릭대학교 서울성모병원</v>
      </c>
      <c r="I1338" s="2" t="str">
        <f t="shared" si="285"/>
        <v>특수</v>
      </c>
    </row>
    <row r="1339" spans="1:9" x14ac:dyDescent="0.3">
      <c r="A1339" s="2" t="str">
        <f t="shared" si="289"/>
        <v>20250818</v>
      </c>
      <c r="B1339" s="2" t="str">
        <f>"24231694"</f>
        <v>24231694</v>
      </c>
      <c r="C1339" s="2" t="str">
        <f>"박윤미"</f>
        <v>박윤미</v>
      </c>
      <c r="D1339" s="2" t="str">
        <f t="shared" si="288"/>
        <v>F</v>
      </c>
      <c r="E1339" s="2" t="str">
        <f>"19820910"</f>
        <v>19820910</v>
      </c>
      <c r="F1339" s="2" t="str">
        <f>"42"</f>
        <v>42</v>
      </c>
      <c r="G1339" s="2" t="str">
        <f t="shared" si="277"/>
        <v>E78660</v>
      </c>
      <c r="H1339" s="2" t="str">
        <f t="shared" si="278"/>
        <v>가톨릭대학교 서울성모병원</v>
      </c>
      <c r="I1339" s="2" t="str">
        <f t="shared" si="285"/>
        <v>특수</v>
      </c>
    </row>
    <row r="1340" spans="1:9" x14ac:dyDescent="0.3">
      <c r="A1340" s="2" t="str">
        <f t="shared" si="289"/>
        <v>20250818</v>
      </c>
      <c r="B1340" s="2" t="str">
        <f>"25051930"</f>
        <v>25051930</v>
      </c>
      <c r="C1340" s="2" t="str">
        <f>"이현진"</f>
        <v>이현진</v>
      </c>
      <c r="D1340" s="2" t="str">
        <f t="shared" si="288"/>
        <v>F</v>
      </c>
      <c r="E1340" s="2" t="str">
        <f>"19920917"</f>
        <v>19920917</v>
      </c>
      <c r="F1340" s="2" t="str">
        <f>"32"</f>
        <v>32</v>
      </c>
      <c r="G1340" s="2" t="str">
        <f t="shared" si="277"/>
        <v>E78660</v>
      </c>
      <c r="H1340" s="2" t="str">
        <f t="shared" si="278"/>
        <v>가톨릭대학교 서울성모병원</v>
      </c>
      <c r="I1340" s="2" t="str">
        <f t="shared" si="285"/>
        <v>특수</v>
      </c>
    </row>
    <row r="1341" spans="1:9" x14ac:dyDescent="0.3">
      <c r="A1341" s="2" t="str">
        <f t="shared" si="289"/>
        <v>20250818</v>
      </c>
      <c r="B1341" s="2" t="str">
        <f>"28641725"</f>
        <v>28641725</v>
      </c>
      <c r="C1341" s="2" t="str">
        <f>"차진영"</f>
        <v>차진영</v>
      </c>
      <c r="D1341" s="2" t="str">
        <f>"M"</f>
        <v>M</v>
      </c>
      <c r="E1341" s="2" t="str">
        <f>"19781227"</f>
        <v>19781227</v>
      </c>
      <c r="F1341" s="2" t="str">
        <f>"46"</f>
        <v>46</v>
      </c>
      <c r="G1341" s="2" t="str">
        <f t="shared" si="277"/>
        <v>E78660</v>
      </c>
      <c r="H1341" s="2" t="str">
        <f t="shared" si="278"/>
        <v>가톨릭대학교 서울성모병원</v>
      </c>
      <c r="I1341" s="2" t="str">
        <f t="shared" si="285"/>
        <v>특수</v>
      </c>
    </row>
    <row r="1342" spans="1:9" x14ac:dyDescent="0.3">
      <c r="A1342" s="2" t="str">
        <f t="shared" si="289"/>
        <v>20250818</v>
      </c>
      <c r="B1342" s="2" t="str">
        <f>"33465914"</f>
        <v>33465914</v>
      </c>
      <c r="C1342" s="2" t="str">
        <f>"최다예"</f>
        <v>최다예</v>
      </c>
      <c r="D1342" s="2" t="str">
        <f>"F"</f>
        <v>F</v>
      </c>
      <c r="E1342" s="2" t="str">
        <f>"19960425"</f>
        <v>19960425</v>
      </c>
      <c r="F1342" s="2" t="str">
        <f>"29"</f>
        <v>29</v>
      </c>
      <c r="G1342" s="2" t="str">
        <f t="shared" si="277"/>
        <v>E78660</v>
      </c>
      <c r="H1342" s="2" t="str">
        <f t="shared" si="278"/>
        <v>가톨릭대학교 서울성모병원</v>
      </c>
      <c r="I1342" s="2" t="str">
        <f t="shared" si="285"/>
        <v>특수</v>
      </c>
    </row>
    <row r="1343" spans="1:9" x14ac:dyDescent="0.3">
      <c r="A1343" s="2" t="str">
        <f t="shared" si="289"/>
        <v>20250818</v>
      </c>
      <c r="B1343" s="2" t="str">
        <f>"38086483"</f>
        <v>38086483</v>
      </c>
      <c r="C1343" s="2" t="str">
        <f>"백예림"</f>
        <v>백예림</v>
      </c>
      <c r="D1343" s="2" t="str">
        <f>"F"</f>
        <v>F</v>
      </c>
      <c r="E1343" s="2" t="str">
        <f>"19971017"</f>
        <v>19971017</v>
      </c>
      <c r="F1343" s="2" t="str">
        <f>"27"</f>
        <v>27</v>
      </c>
      <c r="G1343" s="2" t="str">
        <f t="shared" si="277"/>
        <v>E78660</v>
      </c>
      <c r="H1343" s="2" t="str">
        <f t="shared" si="278"/>
        <v>가톨릭대학교 서울성모병원</v>
      </c>
      <c r="I1343" s="2" t="str">
        <f t="shared" si="285"/>
        <v>특수</v>
      </c>
    </row>
    <row r="1344" spans="1:9" x14ac:dyDescent="0.3">
      <c r="A1344" s="2" t="str">
        <f t="shared" si="289"/>
        <v>20250818</v>
      </c>
      <c r="B1344" s="2" t="str">
        <f>"38307702"</f>
        <v>38307702</v>
      </c>
      <c r="C1344" s="2" t="str">
        <f>"이유진"</f>
        <v>이유진</v>
      </c>
      <c r="D1344" s="2" t="str">
        <f>"F"</f>
        <v>F</v>
      </c>
      <c r="E1344" s="2" t="str">
        <f>"19931005"</f>
        <v>19931005</v>
      </c>
      <c r="F1344" s="2" t="str">
        <f>"31"</f>
        <v>31</v>
      </c>
      <c r="G1344" s="2" t="str">
        <f t="shared" si="277"/>
        <v>E78660</v>
      </c>
      <c r="H1344" s="2" t="str">
        <f t="shared" si="278"/>
        <v>가톨릭대학교 서울성모병원</v>
      </c>
      <c r="I1344" s="2" t="str">
        <f>"배치후"</f>
        <v>배치후</v>
      </c>
    </row>
    <row r="1345" spans="1:9" x14ac:dyDescent="0.3">
      <c r="A1345" s="2" t="str">
        <f t="shared" si="289"/>
        <v>20250818</v>
      </c>
      <c r="B1345" s="2" t="str">
        <f>"38871881"</f>
        <v>38871881</v>
      </c>
      <c r="C1345" s="2" t="str">
        <f>"이슬기"</f>
        <v>이슬기</v>
      </c>
      <c r="D1345" s="2" t="str">
        <f>"F"</f>
        <v>F</v>
      </c>
      <c r="E1345" s="2" t="str">
        <f>"20001127"</f>
        <v>20001127</v>
      </c>
      <c r="F1345" s="2" t="str">
        <f>"24"</f>
        <v>24</v>
      </c>
      <c r="G1345" s="2" t="str">
        <f t="shared" si="277"/>
        <v>E78660</v>
      </c>
      <c r="H1345" s="2" t="str">
        <f t="shared" si="278"/>
        <v>가톨릭대학교 서울성모병원</v>
      </c>
      <c r="I1345" s="2" t="str">
        <f>"특수"</f>
        <v>특수</v>
      </c>
    </row>
    <row r="1346" spans="1:9" x14ac:dyDescent="0.3">
      <c r="A1346" s="2" t="str">
        <f t="shared" si="289"/>
        <v>20250818</v>
      </c>
      <c r="B1346" s="2" t="str">
        <f>"38872065"</f>
        <v>38872065</v>
      </c>
      <c r="C1346" s="2" t="str">
        <f>"김소영"</f>
        <v>김소영</v>
      </c>
      <c r="D1346" s="2" t="str">
        <f>"F"</f>
        <v>F</v>
      </c>
      <c r="E1346" s="2" t="str">
        <f>"20000523"</f>
        <v>20000523</v>
      </c>
      <c r="F1346" s="2" t="str">
        <f>"25"</f>
        <v>25</v>
      </c>
      <c r="G1346" s="2" t="str">
        <f t="shared" si="277"/>
        <v>E78660</v>
      </c>
      <c r="H1346" s="2" t="str">
        <f t="shared" si="278"/>
        <v>가톨릭대학교 서울성모병원</v>
      </c>
      <c r="I1346" s="2" t="str">
        <f>"특수"</f>
        <v>특수</v>
      </c>
    </row>
    <row r="1347" spans="1:9" x14ac:dyDescent="0.3">
      <c r="A1347" s="2" t="str">
        <f t="shared" si="289"/>
        <v>20250818</v>
      </c>
      <c r="B1347" s="2" t="str">
        <f>"40682143"</f>
        <v>40682143</v>
      </c>
      <c r="C1347" s="2" t="str">
        <f>"김석찬"</f>
        <v>김석찬</v>
      </c>
      <c r="D1347" s="2" t="str">
        <f>"M"</f>
        <v>M</v>
      </c>
      <c r="E1347" s="2" t="str">
        <f>"19950217"</f>
        <v>19950217</v>
      </c>
      <c r="F1347" s="2" t="str">
        <f>"30"</f>
        <v>30</v>
      </c>
      <c r="G1347" s="2" t="str">
        <f t="shared" si="277"/>
        <v>E78660</v>
      </c>
      <c r="H1347" s="2" t="str">
        <f t="shared" si="278"/>
        <v>가톨릭대학교 서울성모병원</v>
      </c>
      <c r="I1347" s="2" t="str">
        <f>"배치후"</f>
        <v>배치후</v>
      </c>
    </row>
    <row r="1348" spans="1:9" x14ac:dyDescent="0.3">
      <c r="A1348" s="2" t="str">
        <f t="shared" si="289"/>
        <v>20250818</v>
      </c>
      <c r="B1348" s="2" t="str">
        <f>"40760351"</f>
        <v>40760351</v>
      </c>
      <c r="C1348" s="2" t="str">
        <f>"정유진"</f>
        <v>정유진</v>
      </c>
      <c r="D1348" s="2" t="str">
        <f>"F"</f>
        <v>F</v>
      </c>
      <c r="E1348" s="2" t="str">
        <f>"19861229"</f>
        <v>19861229</v>
      </c>
      <c r="F1348" s="2" t="str">
        <f>"38"</f>
        <v>38</v>
      </c>
      <c r="G1348" s="2" t="str">
        <f t="shared" si="277"/>
        <v>E78660</v>
      </c>
      <c r="H1348" s="2" t="str">
        <f t="shared" si="278"/>
        <v>가톨릭대학교 서울성모병원</v>
      </c>
      <c r="I1348" s="2" t="str">
        <f>"배치후"</f>
        <v>배치후</v>
      </c>
    </row>
    <row r="1349" spans="1:9" x14ac:dyDescent="0.3">
      <c r="A1349" s="2" t="str">
        <f t="shared" si="289"/>
        <v>20250818</v>
      </c>
      <c r="B1349" s="2" t="str">
        <f>"41243563"</f>
        <v>41243563</v>
      </c>
      <c r="C1349" s="2" t="str">
        <f>"오윤남"</f>
        <v>오윤남</v>
      </c>
      <c r="D1349" s="2" t="str">
        <f>"F"</f>
        <v>F</v>
      </c>
      <c r="E1349" s="2" t="str">
        <f>"19700119"</f>
        <v>19700119</v>
      </c>
      <c r="F1349" s="2" t="str">
        <f>"55"</f>
        <v>55</v>
      </c>
      <c r="G1349" s="2" t="str">
        <f t="shared" ref="G1349:G1412" si="290">"E78660"</f>
        <v>E78660</v>
      </c>
      <c r="H1349" s="2" t="str">
        <f t="shared" ref="H1349:H1412" si="291">"가톨릭대학교 서울성모병원"</f>
        <v>가톨릭대학교 서울성모병원</v>
      </c>
      <c r="I1349" s="2" t="str">
        <f>"배치전"</f>
        <v>배치전</v>
      </c>
    </row>
    <row r="1350" spans="1:9" x14ac:dyDescent="0.3">
      <c r="A1350" s="2" t="str">
        <f t="shared" si="289"/>
        <v>20250818</v>
      </c>
      <c r="B1350" s="2" t="str">
        <f>"6902404"</f>
        <v>6902404</v>
      </c>
      <c r="C1350" s="2" t="str">
        <f>"이미희"</f>
        <v>이미희</v>
      </c>
      <c r="D1350" s="2" t="str">
        <f>"F"</f>
        <v>F</v>
      </c>
      <c r="E1350" s="2" t="str">
        <f>"19700707"</f>
        <v>19700707</v>
      </c>
      <c r="F1350" s="2" t="str">
        <f>"55"</f>
        <v>55</v>
      </c>
      <c r="G1350" s="2" t="str">
        <f t="shared" si="290"/>
        <v>E78660</v>
      </c>
      <c r="H1350" s="2" t="str">
        <f t="shared" si="291"/>
        <v>가톨릭대학교 서울성모병원</v>
      </c>
      <c r="I1350" s="2" t="str">
        <f>"특수"</f>
        <v>특수</v>
      </c>
    </row>
    <row r="1351" spans="1:9" x14ac:dyDescent="0.3">
      <c r="A1351" s="2" t="str">
        <f t="shared" ref="A1351:A1361" si="292">"20250819"</f>
        <v>20250819</v>
      </c>
      <c r="B1351" s="2" t="str">
        <f>"19187853"</f>
        <v>19187853</v>
      </c>
      <c r="C1351" s="2" t="str">
        <f>"임승진"</f>
        <v>임승진</v>
      </c>
      <c r="D1351" s="2" t="str">
        <f>"M"</f>
        <v>M</v>
      </c>
      <c r="E1351" s="2" t="str">
        <f>"19811211"</f>
        <v>19811211</v>
      </c>
      <c r="F1351" s="2" t="str">
        <f>"43"</f>
        <v>43</v>
      </c>
      <c r="G1351" s="2" t="str">
        <f t="shared" si="290"/>
        <v>E78660</v>
      </c>
      <c r="H1351" s="2" t="str">
        <f t="shared" si="291"/>
        <v>가톨릭대학교 서울성모병원</v>
      </c>
      <c r="I1351" s="2" t="str">
        <f>"배치전"</f>
        <v>배치전</v>
      </c>
    </row>
    <row r="1352" spans="1:9" x14ac:dyDescent="0.3">
      <c r="A1352" s="2" t="str">
        <f t="shared" si="292"/>
        <v>20250819</v>
      </c>
      <c r="B1352" s="2" t="str">
        <f>"22833496"</f>
        <v>22833496</v>
      </c>
      <c r="C1352" s="2" t="str">
        <f>"송현근"</f>
        <v>송현근</v>
      </c>
      <c r="D1352" s="2" t="str">
        <f>"M"</f>
        <v>M</v>
      </c>
      <c r="E1352" s="2" t="str">
        <f>"19801115"</f>
        <v>19801115</v>
      </c>
      <c r="F1352" s="2" t="str">
        <f>"44"</f>
        <v>44</v>
      </c>
      <c r="G1352" s="2" t="str">
        <f t="shared" si="290"/>
        <v>E78660</v>
      </c>
      <c r="H1352" s="2" t="str">
        <f t="shared" si="291"/>
        <v>가톨릭대학교 서울성모병원</v>
      </c>
      <c r="I1352" s="2" t="str">
        <f>"특수"</f>
        <v>특수</v>
      </c>
    </row>
    <row r="1353" spans="1:9" x14ac:dyDescent="0.3">
      <c r="A1353" s="2" t="str">
        <f t="shared" si="292"/>
        <v>20250819</v>
      </c>
      <c r="B1353" s="2" t="str">
        <f>"24089924"</f>
        <v>24089924</v>
      </c>
      <c r="C1353" s="2" t="str">
        <f>"정보영"</f>
        <v>정보영</v>
      </c>
      <c r="D1353" s="2" t="str">
        <f t="shared" ref="D1353:D1359" si="293">"F"</f>
        <v>F</v>
      </c>
      <c r="E1353" s="2" t="str">
        <f>"19870304"</f>
        <v>19870304</v>
      </c>
      <c r="F1353" s="2" t="str">
        <f>"38"</f>
        <v>38</v>
      </c>
      <c r="G1353" s="2" t="str">
        <f t="shared" si="290"/>
        <v>E78660</v>
      </c>
      <c r="H1353" s="2" t="str">
        <f t="shared" si="291"/>
        <v>가톨릭대학교 서울성모병원</v>
      </c>
      <c r="I1353" s="2" t="str">
        <f>"특수"</f>
        <v>특수</v>
      </c>
    </row>
    <row r="1354" spans="1:9" x14ac:dyDescent="0.3">
      <c r="A1354" s="2" t="str">
        <f t="shared" si="292"/>
        <v>20250819</v>
      </c>
      <c r="B1354" s="2" t="str">
        <f>"24993603"</f>
        <v>24993603</v>
      </c>
      <c r="C1354" s="2" t="str">
        <f>"박민지"</f>
        <v>박민지</v>
      </c>
      <c r="D1354" s="2" t="str">
        <f t="shared" si="293"/>
        <v>F</v>
      </c>
      <c r="E1354" s="2" t="str">
        <f>"19890223"</f>
        <v>19890223</v>
      </c>
      <c r="F1354" s="2" t="str">
        <f>"36"</f>
        <v>36</v>
      </c>
      <c r="G1354" s="2" t="str">
        <f t="shared" si="290"/>
        <v>E78660</v>
      </c>
      <c r="H1354" s="2" t="str">
        <f t="shared" si="291"/>
        <v>가톨릭대학교 서울성모병원</v>
      </c>
      <c r="I1354" s="2" t="str">
        <f>"배치전"</f>
        <v>배치전</v>
      </c>
    </row>
    <row r="1355" spans="1:9" x14ac:dyDescent="0.3">
      <c r="A1355" s="2" t="str">
        <f t="shared" si="292"/>
        <v>20250819</v>
      </c>
      <c r="B1355" s="2" t="str">
        <f>"28919221"</f>
        <v>28919221</v>
      </c>
      <c r="C1355" s="2" t="str">
        <f>"강민경"</f>
        <v>강민경</v>
      </c>
      <c r="D1355" s="2" t="str">
        <f t="shared" si="293"/>
        <v>F</v>
      </c>
      <c r="E1355" s="2" t="str">
        <f>"19920502"</f>
        <v>19920502</v>
      </c>
      <c r="F1355" s="2" t="str">
        <f>"33"</f>
        <v>33</v>
      </c>
      <c r="G1355" s="2" t="str">
        <f t="shared" si="290"/>
        <v>E78660</v>
      </c>
      <c r="H1355" s="2" t="str">
        <f t="shared" si="291"/>
        <v>가톨릭대학교 서울성모병원</v>
      </c>
      <c r="I1355" s="2" t="str">
        <f>"특수"</f>
        <v>특수</v>
      </c>
    </row>
    <row r="1356" spans="1:9" x14ac:dyDescent="0.3">
      <c r="A1356" s="2" t="str">
        <f t="shared" si="292"/>
        <v>20250819</v>
      </c>
      <c r="B1356" s="2" t="str">
        <f>"28981203"</f>
        <v>28981203</v>
      </c>
      <c r="C1356" s="2" t="str">
        <f>"김소형"</f>
        <v>김소형</v>
      </c>
      <c r="D1356" s="2" t="str">
        <f t="shared" si="293"/>
        <v>F</v>
      </c>
      <c r="E1356" s="2" t="str">
        <f>"19920207"</f>
        <v>19920207</v>
      </c>
      <c r="F1356" s="2" t="str">
        <f>"33"</f>
        <v>33</v>
      </c>
      <c r="G1356" s="2" t="str">
        <f t="shared" si="290"/>
        <v>E78660</v>
      </c>
      <c r="H1356" s="2" t="str">
        <f t="shared" si="291"/>
        <v>가톨릭대학교 서울성모병원</v>
      </c>
      <c r="I1356" s="2" t="str">
        <f>"배치전"</f>
        <v>배치전</v>
      </c>
    </row>
    <row r="1357" spans="1:9" x14ac:dyDescent="0.3">
      <c r="A1357" s="2" t="str">
        <f t="shared" si="292"/>
        <v>20250819</v>
      </c>
      <c r="B1357" s="2" t="str">
        <f>"31545702"</f>
        <v>31545702</v>
      </c>
      <c r="C1357" s="2" t="str">
        <f>"이경은"</f>
        <v>이경은</v>
      </c>
      <c r="D1357" s="2" t="str">
        <f t="shared" si="293"/>
        <v>F</v>
      </c>
      <c r="E1357" s="2" t="str">
        <f>"19940328"</f>
        <v>19940328</v>
      </c>
      <c r="F1357" s="2" t="str">
        <f>"31"</f>
        <v>31</v>
      </c>
      <c r="G1357" s="2" t="str">
        <f t="shared" si="290"/>
        <v>E78660</v>
      </c>
      <c r="H1357" s="2" t="str">
        <f t="shared" si="291"/>
        <v>가톨릭대학교 서울성모병원</v>
      </c>
      <c r="I1357" s="2" t="str">
        <f>"특수"</f>
        <v>특수</v>
      </c>
    </row>
    <row r="1358" spans="1:9" x14ac:dyDescent="0.3">
      <c r="A1358" s="2" t="str">
        <f t="shared" si="292"/>
        <v>20250819</v>
      </c>
      <c r="B1358" s="2" t="str">
        <f>"36645970"</f>
        <v>36645970</v>
      </c>
      <c r="C1358" s="2" t="str">
        <f>"이인정"</f>
        <v>이인정</v>
      </c>
      <c r="D1358" s="2" t="str">
        <f t="shared" si="293"/>
        <v>F</v>
      </c>
      <c r="E1358" s="2" t="str">
        <f>"19970729"</f>
        <v>19970729</v>
      </c>
      <c r="F1358" s="2" t="str">
        <f>"28"</f>
        <v>28</v>
      </c>
      <c r="G1358" s="2" t="str">
        <f t="shared" si="290"/>
        <v>E78660</v>
      </c>
      <c r="H1358" s="2" t="str">
        <f t="shared" si="291"/>
        <v>가톨릭대학교 서울성모병원</v>
      </c>
      <c r="I1358" s="2" t="str">
        <f>"특수"</f>
        <v>특수</v>
      </c>
    </row>
    <row r="1359" spans="1:9" x14ac:dyDescent="0.3">
      <c r="A1359" s="2" t="str">
        <f t="shared" si="292"/>
        <v>20250819</v>
      </c>
      <c r="B1359" s="2" t="str">
        <f>"38529744"</f>
        <v>38529744</v>
      </c>
      <c r="C1359" s="2" t="str">
        <f>"유연서"</f>
        <v>유연서</v>
      </c>
      <c r="D1359" s="2" t="str">
        <f t="shared" si="293"/>
        <v>F</v>
      </c>
      <c r="E1359" s="2" t="str">
        <f>"20001024"</f>
        <v>20001024</v>
      </c>
      <c r="F1359" s="2" t="str">
        <f>"24"</f>
        <v>24</v>
      </c>
      <c r="G1359" s="2" t="str">
        <f t="shared" si="290"/>
        <v>E78660</v>
      </c>
      <c r="H1359" s="2" t="str">
        <f t="shared" si="291"/>
        <v>가톨릭대학교 서울성모병원</v>
      </c>
      <c r="I1359" s="2" t="str">
        <f>"특수"</f>
        <v>특수</v>
      </c>
    </row>
    <row r="1360" spans="1:9" x14ac:dyDescent="0.3">
      <c r="A1360" s="2" t="str">
        <f t="shared" si="292"/>
        <v>20250819</v>
      </c>
      <c r="B1360" s="2" t="str">
        <f>"41209196"</f>
        <v>41209196</v>
      </c>
      <c r="C1360" s="2" t="str">
        <f>"정항모"</f>
        <v>정항모</v>
      </c>
      <c r="D1360" s="2" t="str">
        <f>"M"</f>
        <v>M</v>
      </c>
      <c r="E1360" s="2" t="str">
        <f>"19991110"</f>
        <v>19991110</v>
      </c>
      <c r="F1360" s="2" t="str">
        <f>"25"</f>
        <v>25</v>
      </c>
      <c r="G1360" s="2" t="str">
        <f t="shared" si="290"/>
        <v>E78660</v>
      </c>
      <c r="H1360" s="2" t="str">
        <f t="shared" si="291"/>
        <v>가톨릭대학교 서울성모병원</v>
      </c>
      <c r="I1360" s="2" t="str">
        <f>"배치전"</f>
        <v>배치전</v>
      </c>
    </row>
    <row r="1361" spans="1:9" x14ac:dyDescent="0.3">
      <c r="A1361" s="2" t="str">
        <f t="shared" si="292"/>
        <v>20250819</v>
      </c>
      <c r="B1361" s="2" t="str">
        <f>"41209211"</f>
        <v>41209211</v>
      </c>
      <c r="C1361" s="2" t="str">
        <f>"이동연"</f>
        <v>이동연</v>
      </c>
      <c r="D1361" s="2" t="str">
        <f>"F"</f>
        <v>F</v>
      </c>
      <c r="E1361" s="2" t="str">
        <f>"19991228"</f>
        <v>19991228</v>
      </c>
      <c r="F1361" s="2" t="str">
        <f>"25"</f>
        <v>25</v>
      </c>
      <c r="G1361" s="2" t="str">
        <f t="shared" si="290"/>
        <v>E78660</v>
      </c>
      <c r="H1361" s="2" t="str">
        <f t="shared" si="291"/>
        <v>가톨릭대학교 서울성모병원</v>
      </c>
      <c r="I1361" s="2" t="str">
        <f>"배치전"</f>
        <v>배치전</v>
      </c>
    </row>
    <row r="1362" spans="1:9" x14ac:dyDescent="0.3">
      <c r="A1362" s="2" t="str">
        <f t="shared" ref="A1362:A1369" si="294">"20250820"</f>
        <v>20250820</v>
      </c>
      <c r="B1362" s="2" t="str">
        <f>"13287978"</f>
        <v>13287978</v>
      </c>
      <c r="C1362" s="2" t="str">
        <f>"허수현"</f>
        <v>허수현</v>
      </c>
      <c r="D1362" s="2" t="str">
        <f>"F"</f>
        <v>F</v>
      </c>
      <c r="E1362" s="2" t="str">
        <f>"19780211"</f>
        <v>19780211</v>
      </c>
      <c r="F1362" s="2" t="str">
        <f>"47"</f>
        <v>47</v>
      </c>
      <c r="G1362" s="2" t="str">
        <f t="shared" si="290"/>
        <v>E78660</v>
      </c>
      <c r="H1362" s="2" t="str">
        <f t="shared" si="291"/>
        <v>가톨릭대학교 서울성모병원</v>
      </c>
      <c r="I1362" s="2" t="str">
        <f>"배치전"</f>
        <v>배치전</v>
      </c>
    </row>
    <row r="1363" spans="1:9" x14ac:dyDescent="0.3">
      <c r="A1363" s="2" t="str">
        <f t="shared" si="294"/>
        <v>20250820</v>
      </c>
      <c r="B1363" s="2" t="str">
        <f>"22833496"</f>
        <v>22833496</v>
      </c>
      <c r="C1363" s="2" t="str">
        <f>"송현근"</f>
        <v>송현근</v>
      </c>
      <c r="D1363" s="2" t="str">
        <f>"M"</f>
        <v>M</v>
      </c>
      <c r="E1363" s="2" t="str">
        <f>"19801115"</f>
        <v>19801115</v>
      </c>
      <c r="F1363" s="2" t="str">
        <f>"44"</f>
        <v>44</v>
      </c>
      <c r="G1363" s="2" t="str">
        <f t="shared" si="290"/>
        <v>E78660</v>
      </c>
      <c r="H1363" s="2" t="str">
        <f t="shared" si="291"/>
        <v>가톨릭대학교 서울성모병원</v>
      </c>
      <c r="I1363" s="2" t="str">
        <f>"배치전"</f>
        <v>배치전</v>
      </c>
    </row>
    <row r="1364" spans="1:9" x14ac:dyDescent="0.3">
      <c r="A1364" s="2" t="str">
        <f t="shared" si="294"/>
        <v>20250820</v>
      </c>
      <c r="B1364" s="2" t="str">
        <f>"23164812"</f>
        <v>23164812</v>
      </c>
      <c r="C1364" s="2" t="str">
        <f>"김복진"</f>
        <v>김복진</v>
      </c>
      <c r="D1364" s="2" t="str">
        <f t="shared" ref="D1364:D1373" si="295">"F"</f>
        <v>F</v>
      </c>
      <c r="E1364" s="2" t="str">
        <f>"19870816"</f>
        <v>19870816</v>
      </c>
      <c r="F1364" s="2" t="str">
        <f>"38"</f>
        <v>38</v>
      </c>
      <c r="G1364" s="2" t="str">
        <f t="shared" si="290"/>
        <v>E78660</v>
      </c>
      <c r="H1364" s="2" t="str">
        <f t="shared" si="291"/>
        <v>가톨릭대학교 서울성모병원</v>
      </c>
      <c r="I1364" s="2" t="str">
        <f>"특수"</f>
        <v>특수</v>
      </c>
    </row>
    <row r="1365" spans="1:9" x14ac:dyDescent="0.3">
      <c r="A1365" s="2" t="str">
        <f t="shared" si="294"/>
        <v>20250820</v>
      </c>
      <c r="B1365" s="2" t="str">
        <f>"26005123"</f>
        <v>26005123</v>
      </c>
      <c r="C1365" s="2" t="str">
        <f>"김자혜"</f>
        <v>김자혜</v>
      </c>
      <c r="D1365" s="2" t="str">
        <f t="shared" si="295"/>
        <v>F</v>
      </c>
      <c r="E1365" s="2" t="str">
        <f>"19870805"</f>
        <v>19870805</v>
      </c>
      <c r="F1365" s="2" t="str">
        <f>"38"</f>
        <v>38</v>
      </c>
      <c r="G1365" s="2" t="str">
        <f t="shared" si="290"/>
        <v>E78660</v>
      </c>
      <c r="H1365" s="2" t="str">
        <f t="shared" si="291"/>
        <v>가톨릭대학교 서울성모병원</v>
      </c>
      <c r="I1365" s="2" t="str">
        <f>"특수"</f>
        <v>특수</v>
      </c>
    </row>
    <row r="1366" spans="1:9" x14ac:dyDescent="0.3">
      <c r="A1366" s="2" t="str">
        <f t="shared" si="294"/>
        <v>20250820</v>
      </c>
      <c r="B1366" s="2" t="str">
        <f>"31036534"</f>
        <v>31036534</v>
      </c>
      <c r="C1366" s="2" t="str">
        <f>"박정현"</f>
        <v>박정현</v>
      </c>
      <c r="D1366" s="2" t="str">
        <f t="shared" si="295"/>
        <v>F</v>
      </c>
      <c r="E1366" s="2" t="str">
        <f>"19940822"</f>
        <v>19940822</v>
      </c>
      <c r="F1366" s="2" t="str">
        <f>"31"</f>
        <v>31</v>
      </c>
      <c r="G1366" s="2" t="str">
        <f t="shared" si="290"/>
        <v>E78660</v>
      </c>
      <c r="H1366" s="2" t="str">
        <f t="shared" si="291"/>
        <v>가톨릭대학교 서울성모병원</v>
      </c>
      <c r="I1366" s="2" t="str">
        <f>"특수"</f>
        <v>특수</v>
      </c>
    </row>
    <row r="1367" spans="1:9" x14ac:dyDescent="0.3">
      <c r="A1367" s="2" t="str">
        <f t="shared" si="294"/>
        <v>20250820</v>
      </c>
      <c r="B1367" s="2" t="str">
        <f>"36184514"</f>
        <v>36184514</v>
      </c>
      <c r="C1367" s="2" t="str">
        <f>"옥보라"</f>
        <v>옥보라</v>
      </c>
      <c r="D1367" s="2" t="str">
        <f t="shared" si="295"/>
        <v>F</v>
      </c>
      <c r="E1367" s="2" t="str">
        <f>"19960809"</f>
        <v>19960809</v>
      </c>
      <c r="F1367" s="2" t="str">
        <f>"29"</f>
        <v>29</v>
      </c>
      <c r="G1367" s="2" t="str">
        <f t="shared" si="290"/>
        <v>E78660</v>
      </c>
      <c r="H1367" s="2" t="str">
        <f t="shared" si="291"/>
        <v>가톨릭대학교 서울성모병원</v>
      </c>
      <c r="I1367" s="2" t="str">
        <f>"배치전"</f>
        <v>배치전</v>
      </c>
    </row>
    <row r="1368" spans="1:9" x14ac:dyDescent="0.3">
      <c r="A1368" s="2" t="str">
        <f t="shared" si="294"/>
        <v>20250820</v>
      </c>
      <c r="B1368" s="2" t="str">
        <f>"39857410"</f>
        <v>39857410</v>
      </c>
      <c r="C1368" s="2" t="str">
        <f>"이다솜"</f>
        <v>이다솜</v>
      </c>
      <c r="D1368" s="2" t="str">
        <f t="shared" si="295"/>
        <v>F</v>
      </c>
      <c r="E1368" s="2" t="str">
        <f>"19850222"</f>
        <v>19850222</v>
      </c>
      <c r="F1368" s="2" t="str">
        <f>"40"</f>
        <v>40</v>
      </c>
      <c r="G1368" s="2" t="str">
        <f t="shared" si="290"/>
        <v>E78660</v>
      </c>
      <c r="H1368" s="2" t="str">
        <f t="shared" si="291"/>
        <v>가톨릭대학교 서울성모병원</v>
      </c>
      <c r="I1368" s="2" t="str">
        <f>"배치후"</f>
        <v>배치후</v>
      </c>
    </row>
    <row r="1369" spans="1:9" x14ac:dyDescent="0.3">
      <c r="A1369" s="2" t="str">
        <f t="shared" si="294"/>
        <v>20250820</v>
      </c>
      <c r="B1369" s="2" t="str">
        <f>"41209093"</f>
        <v>41209093</v>
      </c>
      <c r="C1369" s="2" t="str">
        <f>"민세희"</f>
        <v>민세희</v>
      </c>
      <c r="D1369" s="2" t="str">
        <f t="shared" si="295"/>
        <v>F</v>
      </c>
      <c r="E1369" s="2" t="str">
        <f>"20010425"</f>
        <v>20010425</v>
      </c>
      <c r="F1369" s="2" t="str">
        <f>"24"</f>
        <v>24</v>
      </c>
      <c r="G1369" s="2" t="str">
        <f t="shared" si="290"/>
        <v>E78660</v>
      </c>
      <c r="H1369" s="2" t="str">
        <f t="shared" si="291"/>
        <v>가톨릭대학교 서울성모병원</v>
      </c>
      <c r="I1369" s="2" t="str">
        <f>"배치전"</f>
        <v>배치전</v>
      </c>
    </row>
    <row r="1370" spans="1:9" x14ac:dyDescent="0.3">
      <c r="A1370" s="2" t="str">
        <f t="shared" ref="A1370:A1375" si="296">"20250821"</f>
        <v>20250821</v>
      </c>
      <c r="B1370" s="2" t="str">
        <f>"14121080"</f>
        <v>14121080</v>
      </c>
      <c r="C1370" s="2" t="str">
        <f>"박수연"</f>
        <v>박수연</v>
      </c>
      <c r="D1370" s="2" t="str">
        <f t="shared" si="295"/>
        <v>F</v>
      </c>
      <c r="E1370" s="2" t="str">
        <f>"19831208"</f>
        <v>19831208</v>
      </c>
      <c r="F1370" s="2" t="str">
        <f>"41"</f>
        <v>41</v>
      </c>
      <c r="G1370" s="2" t="str">
        <f t="shared" si="290"/>
        <v>E78660</v>
      </c>
      <c r="H1370" s="2" t="str">
        <f t="shared" si="291"/>
        <v>가톨릭대학교 서울성모병원</v>
      </c>
      <c r="I1370" s="2" t="str">
        <f t="shared" ref="I1370:I1376" si="297">"특수"</f>
        <v>특수</v>
      </c>
    </row>
    <row r="1371" spans="1:9" x14ac:dyDescent="0.3">
      <c r="A1371" s="2" t="str">
        <f t="shared" si="296"/>
        <v>20250821</v>
      </c>
      <c r="B1371" s="2" t="str">
        <f>"21067633"</f>
        <v>21067633</v>
      </c>
      <c r="C1371" s="2" t="str">
        <f>"최지혜"</f>
        <v>최지혜</v>
      </c>
      <c r="D1371" s="2" t="str">
        <f t="shared" si="295"/>
        <v>F</v>
      </c>
      <c r="E1371" s="2" t="str">
        <f>"19850621"</f>
        <v>19850621</v>
      </c>
      <c r="F1371" s="2" t="str">
        <f>"40"</f>
        <v>40</v>
      </c>
      <c r="G1371" s="2" t="str">
        <f t="shared" si="290"/>
        <v>E78660</v>
      </c>
      <c r="H1371" s="2" t="str">
        <f t="shared" si="291"/>
        <v>가톨릭대학교 서울성모병원</v>
      </c>
      <c r="I1371" s="2" t="str">
        <f t="shared" si="297"/>
        <v>특수</v>
      </c>
    </row>
    <row r="1372" spans="1:9" x14ac:dyDescent="0.3">
      <c r="A1372" s="2" t="str">
        <f t="shared" si="296"/>
        <v>20250821</v>
      </c>
      <c r="B1372" s="2" t="str">
        <f>"40401846"</f>
        <v>40401846</v>
      </c>
      <c r="C1372" s="2" t="str">
        <f>"한승희"</f>
        <v>한승희</v>
      </c>
      <c r="D1372" s="2" t="str">
        <f t="shared" si="295"/>
        <v>F</v>
      </c>
      <c r="E1372" s="2" t="str">
        <f>"19981021"</f>
        <v>19981021</v>
      </c>
      <c r="F1372" s="2" t="str">
        <f>"26"</f>
        <v>26</v>
      </c>
      <c r="G1372" s="2" t="str">
        <f t="shared" si="290"/>
        <v>E78660</v>
      </c>
      <c r="H1372" s="2" t="str">
        <f t="shared" si="291"/>
        <v>가톨릭대학교 서울성모병원</v>
      </c>
      <c r="I1372" s="2" t="str">
        <f t="shared" si="297"/>
        <v>특수</v>
      </c>
    </row>
    <row r="1373" spans="1:9" x14ac:dyDescent="0.3">
      <c r="A1373" s="2" t="str">
        <f t="shared" si="296"/>
        <v>20250821</v>
      </c>
      <c r="B1373" s="2" t="str">
        <f>"6583910"</f>
        <v>6583910</v>
      </c>
      <c r="C1373" s="2" t="str">
        <f>"박성숙"</f>
        <v>박성숙</v>
      </c>
      <c r="D1373" s="2" t="str">
        <f t="shared" si="295"/>
        <v>F</v>
      </c>
      <c r="E1373" s="2" t="str">
        <f>"19691028"</f>
        <v>19691028</v>
      </c>
      <c r="F1373" s="2" t="str">
        <f>"55"</f>
        <v>55</v>
      </c>
      <c r="G1373" s="2" t="str">
        <f t="shared" si="290"/>
        <v>E78660</v>
      </c>
      <c r="H1373" s="2" t="str">
        <f t="shared" si="291"/>
        <v>가톨릭대학교 서울성모병원</v>
      </c>
      <c r="I1373" s="2" t="str">
        <f t="shared" si="297"/>
        <v>특수</v>
      </c>
    </row>
    <row r="1374" spans="1:9" x14ac:dyDescent="0.3">
      <c r="A1374" s="2" t="str">
        <f t="shared" si="296"/>
        <v>20250821</v>
      </c>
      <c r="B1374" s="2" t="str">
        <f>"8492735"</f>
        <v>8492735</v>
      </c>
      <c r="C1374" s="2" t="str">
        <f>"이정중"</f>
        <v>이정중</v>
      </c>
      <c r="D1374" s="2" t="str">
        <f>"M"</f>
        <v>M</v>
      </c>
      <c r="E1374" s="2" t="str">
        <f>"19680320"</f>
        <v>19680320</v>
      </c>
      <c r="F1374" s="2" t="str">
        <f>"57"</f>
        <v>57</v>
      </c>
      <c r="G1374" s="2" t="str">
        <f t="shared" si="290"/>
        <v>E78660</v>
      </c>
      <c r="H1374" s="2" t="str">
        <f t="shared" si="291"/>
        <v>가톨릭대학교 서울성모병원</v>
      </c>
      <c r="I1374" s="2" t="str">
        <f t="shared" si="297"/>
        <v>특수</v>
      </c>
    </row>
    <row r="1375" spans="1:9" x14ac:dyDescent="0.3">
      <c r="A1375" s="2" t="str">
        <f t="shared" si="296"/>
        <v>20250821</v>
      </c>
      <c r="B1375" s="2" t="str">
        <f>"9047358"</f>
        <v>9047358</v>
      </c>
      <c r="C1375" s="2" t="str">
        <f>"차명수"</f>
        <v>차명수</v>
      </c>
      <c r="D1375" s="2" t="str">
        <f>"M"</f>
        <v>M</v>
      </c>
      <c r="E1375" s="2" t="str">
        <f>"19690901"</f>
        <v>19690901</v>
      </c>
      <c r="F1375" s="2" t="str">
        <f>"56"</f>
        <v>56</v>
      </c>
      <c r="G1375" s="2" t="str">
        <f t="shared" si="290"/>
        <v>E78660</v>
      </c>
      <c r="H1375" s="2" t="str">
        <f t="shared" si="291"/>
        <v>가톨릭대학교 서울성모병원</v>
      </c>
      <c r="I1375" s="2" t="str">
        <f t="shared" si="297"/>
        <v>특수</v>
      </c>
    </row>
    <row r="1376" spans="1:9" x14ac:dyDescent="0.3">
      <c r="A1376" s="2" t="str">
        <f t="shared" ref="A1376:A1388" si="298">"20250825"</f>
        <v>20250825</v>
      </c>
      <c r="B1376" s="2" t="str">
        <f>"10193475"</f>
        <v>10193475</v>
      </c>
      <c r="C1376" s="2" t="str">
        <f>"임영경"</f>
        <v>임영경</v>
      </c>
      <c r="D1376" s="2" t="str">
        <f>"F"</f>
        <v>F</v>
      </c>
      <c r="E1376" s="2" t="str">
        <f>"19740327"</f>
        <v>19740327</v>
      </c>
      <c r="F1376" s="2" t="str">
        <f>"51"</f>
        <v>51</v>
      </c>
      <c r="G1376" s="2" t="str">
        <f t="shared" si="290"/>
        <v>E78660</v>
      </c>
      <c r="H1376" s="2" t="str">
        <f t="shared" si="291"/>
        <v>가톨릭대학교 서울성모병원</v>
      </c>
      <c r="I1376" s="2" t="str">
        <f t="shared" si="297"/>
        <v>특수</v>
      </c>
    </row>
    <row r="1377" spans="1:9" x14ac:dyDescent="0.3">
      <c r="A1377" s="2" t="str">
        <f t="shared" si="298"/>
        <v>20250825</v>
      </c>
      <c r="B1377" s="2" t="str">
        <f>"11116630"</f>
        <v>11116630</v>
      </c>
      <c r="C1377" s="2" t="str">
        <f>"한정현"</f>
        <v>한정현</v>
      </c>
      <c r="D1377" s="2" t="str">
        <f>"M"</f>
        <v>M</v>
      </c>
      <c r="E1377" s="2" t="str">
        <f>"19711012"</f>
        <v>19711012</v>
      </c>
      <c r="F1377" s="2" t="str">
        <f>"53"</f>
        <v>53</v>
      </c>
      <c r="G1377" s="2" t="str">
        <f t="shared" si="290"/>
        <v>E78660</v>
      </c>
      <c r="H1377" s="2" t="str">
        <f t="shared" si="291"/>
        <v>가톨릭대학교 서울성모병원</v>
      </c>
      <c r="I1377" s="2" t="str">
        <f>"배치전"</f>
        <v>배치전</v>
      </c>
    </row>
    <row r="1378" spans="1:9" x14ac:dyDescent="0.3">
      <c r="A1378" s="2" t="str">
        <f t="shared" si="298"/>
        <v>20250825</v>
      </c>
      <c r="B1378" s="2" t="str">
        <f>"14511611"</f>
        <v>14511611</v>
      </c>
      <c r="C1378" s="2" t="str">
        <f>"정솔희"</f>
        <v>정솔희</v>
      </c>
      <c r="D1378" s="2" t="str">
        <f>"F"</f>
        <v>F</v>
      </c>
      <c r="E1378" s="2" t="str">
        <f>"19980210"</f>
        <v>19980210</v>
      </c>
      <c r="F1378" s="2" t="str">
        <f>"27"</f>
        <v>27</v>
      </c>
      <c r="G1378" s="2" t="str">
        <f t="shared" si="290"/>
        <v>E78660</v>
      </c>
      <c r="H1378" s="2" t="str">
        <f t="shared" si="291"/>
        <v>가톨릭대학교 서울성모병원</v>
      </c>
      <c r="I1378" s="2" t="str">
        <f>"특수"</f>
        <v>특수</v>
      </c>
    </row>
    <row r="1379" spans="1:9" x14ac:dyDescent="0.3">
      <c r="A1379" s="2" t="str">
        <f t="shared" si="298"/>
        <v>20250825</v>
      </c>
      <c r="B1379" s="2" t="str">
        <f>"14778676"</f>
        <v>14778676</v>
      </c>
      <c r="C1379" s="2" t="str">
        <f>"이경숙"</f>
        <v>이경숙</v>
      </c>
      <c r="D1379" s="2" t="str">
        <f>"F"</f>
        <v>F</v>
      </c>
      <c r="E1379" s="2" t="str">
        <f>"19771106"</f>
        <v>19771106</v>
      </c>
      <c r="F1379" s="2" t="str">
        <f>"47"</f>
        <v>47</v>
      </c>
      <c r="G1379" s="2" t="str">
        <f t="shared" si="290"/>
        <v>E78660</v>
      </c>
      <c r="H1379" s="2" t="str">
        <f t="shared" si="291"/>
        <v>가톨릭대학교 서울성모병원</v>
      </c>
      <c r="I1379" s="2" t="str">
        <f>"특수"</f>
        <v>특수</v>
      </c>
    </row>
    <row r="1380" spans="1:9" x14ac:dyDescent="0.3">
      <c r="A1380" s="2" t="str">
        <f t="shared" si="298"/>
        <v>20250825</v>
      </c>
      <c r="B1380" s="2" t="str">
        <f>"15881920"</f>
        <v>15881920</v>
      </c>
      <c r="C1380" s="2" t="str">
        <f>"류동성"</f>
        <v>류동성</v>
      </c>
      <c r="D1380" s="2" t="str">
        <f>"M"</f>
        <v>M</v>
      </c>
      <c r="E1380" s="2" t="str">
        <f>"19740728"</f>
        <v>19740728</v>
      </c>
      <c r="F1380" s="2" t="str">
        <f>"51"</f>
        <v>51</v>
      </c>
      <c r="G1380" s="2" t="str">
        <f t="shared" si="290"/>
        <v>E78660</v>
      </c>
      <c r="H1380" s="2" t="str">
        <f t="shared" si="291"/>
        <v>가톨릭대학교 서울성모병원</v>
      </c>
      <c r="I1380" s="2" t="str">
        <f>"배치전"</f>
        <v>배치전</v>
      </c>
    </row>
    <row r="1381" spans="1:9" x14ac:dyDescent="0.3">
      <c r="A1381" s="2" t="str">
        <f t="shared" si="298"/>
        <v>20250825</v>
      </c>
      <c r="B1381" s="2" t="str">
        <f>"16446595"</f>
        <v>16446595</v>
      </c>
      <c r="C1381" s="2" t="str">
        <f>"황삼노"</f>
        <v>황삼노</v>
      </c>
      <c r="D1381" s="2" t="str">
        <f>"M"</f>
        <v>M</v>
      </c>
      <c r="E1381" s="2" t="str">
        <f>"19750225"</f>
        <v>19750225</v>
      </c>
      <c r="F1381" s="2" t="str">
        <f>"50"</f>
        <v>50</v>
      </c>
      <c r="G1381" s="2" t="str">
        <f t="shared" si="290"/>
        <v>E78660</v>
      </c>
      <c r="H1381" s="2" t="str">
        <f t="shared" si="291"/>
        <v>가톨릭대학교 서울성모병원</v>
      </c>
      <c r="I1381" s="2" t="str">
        <f t="shared" ref="I1381:I1388" si="299">"특수"</f>
        <v>특수</v>
      </c>
    </row>
    <row r="1382" spans="1:9" x14ac:dyDescent="0.3">
      <c r="A1382" s="2" t="str">
        <f t="shared" si="298"/>
        <v>20250825</v>
      </c>
      <c r="B1382" s="2" t="str">
        <f>"17567577"</f>
        <v>17567577</v>
      </c>
      <c r="C1382" s="2" t="str">
        <f>"김형태"</f>
        <v>김형태</v>
      </c>
      <c r="D1382" s="2" t="str">
        <f>"M"</f>
        <v>M</v>
      </c>
      <c r="E1382" s="2" t="str">
        <f>"19910115"</f>
        <v>19910115</v>
      </c>
      <c r="F1382" s="2" t="str">
        <f>"34"</f>
        <v>34</v>
      </c>
      <c r="G1382" s="2" t="str">
        <f t="shared" si="290"/>
        <v>E78660</v>
      </c>
      <c r="H1382" s="2" t="str">
        <f t="shared" si="291"/>
        <v>가톨릭대학교 서울성모병원</v>
      </c>
      <c r="I1382" s="2" t="str">
        <f t="shared" si="299"/>
        <v>특수</v>
      </c>
    </row>
    <row r="1383" spans="1:9" x14ac:dyDescent="0.3">
      <c r="A1383" s="2" t="str">
        <f t="shared" si="298"/>
        <v>20250825</v>
      </c>
      <c r="B1383" s="2" t="str">
        <f>"26291292"</f>
        <v>26291292</v>
      </c>
      <c r="C1383" s="2" t="str">
        <f>"박승아"</f>
        <v>박승아</v>
      </c>
      <c r="D1383" s="2" t="str">
        <f>"F"</f>
        <v>F</v>
      </c>
      <c r="E1383" s="2" t="str">
        <f>"19910130"</f>
        <v>19910130</v>
      </c>
      <c r="F1383" s="2" t="str">
        <f>"34"</f>
        <v>34</v>
      </c>
      <c r="G1383" s="2" t="str">
        <f t="shared" si="290"/>
        <v>E78660</v>
      </c>
      <c r="H1383" s="2" t="str">
        <f t="shared" si="291"/>
        <v>가톨릭대학교 서울성모병원</v>
      </c>
      <c r="I1383" s="2" t="str">
        <f t="shared" si="299"/>
        <v>특수</v>
      </c>
    </row>
    <row r="1384" spans="1:9" x14ac:dyDescent="0.3">
      <c r="A1384" s="2" t="str">
        <f t="shared" si="298"/>
        <v>20250825</v>
      </c>
      <c r="B1384" s="2" t="str">
        <f>"27274233"</f>
        <v>27274233</v>
      </c>
      <c r="C1384" s="2" t="str">
        <f>"김하림"</f>
        <v>김하림</v>
      </c>
      <c r="D1384" s="2" t="str">
        <f>"F"</f>
        <v>F</v>
      </c>
      <c r="E1384" s="2" t="str">
        <f>"19950202"</f>
        <v>19950202</v>
      </c>
      <c r="F1384" s="2" t="str">
        <f>"30"</f>
        <v>30</v>
      </c>
      <c r="G1384" s="2" t="str">
        <f t="shared" si="290"/>
        <v>E78660</v>
      </c>
      <c r="H1384" s="2" t="str">
        <f t="shared" si="291"/>
        <v>가톨릭대학교 서울성모병원</v>
      </c>
      <c r="I1384" s="2" t="str">
        <f t="shared" si="299"/>
        <v>특수</v>
      </c>
    </row>
    <row r="1385" spans="1:9" x14ac:dyDescent="0.3">
      <c r="A1385" s="2" t="str">
        <f t="shared" si="298"/>
        <v>20250825</v>
      </c>
      <c r="B1385" s="2" t="str">
        <f>"35054533"</f>
        <v>35054533</v>
      </c>
      <c r="C1385" s="2" t="str">
        <f>"장연수"</f>
        <v>장연수</v>
      </c>
      <c r="D1385" s="2" t="str">
        <f>"F"</f>
        <v>F</v>
      </c>
      <c r="E1385" s="2" t="str">
        <f>"19970718"</f>
        <v>19970718</v>
      </c>
      <c r="F1385" s="2" t="str">
        <f>"28"</f>
        <v>28</v>
      </c>
      <c r="G1385" s="2" t="str">
        <f t="shared" si="290"/>
        <v>E78660</v>
      </c>
      <c r="H1385" s="2" t="str">
        <f t="shared" si="291"/>
        <v>가톨릭대학교 서울성모병원</v>
      </c>
      <c r="I1385" s="2" t="str">
        <f t="shared" si="299"/>
        <v>특수</v>
      </c>
    </row>
    <row r="1386" spans="1:9" x14ac:dyDescent="0.3">
      <c r="A1386" s="2" t="str">
        <f t="shared" si="298"/>
        <v>20250825</v>
      </c>
      <c r="B1386" s="2" t="str">
        <f>"35739092"</f>
        <v>35739092</v>
      </c>
      <c r="C1386" s="2" t="str">
        <f>"기영주"</f>
        <v>기영주</v>
      </c>
      <c r="D1386" s="2" t="str">
        <f>"F"</f>
        <v>F</v>
      </c>
      <c r="E1386" s="2" t="str">
        <f>"19971211"</f>
        <v>19971211</v>
      </c>
      <c r="F1386" s="2" t="str">
        <f>"27"</f>
        <v>27</v>
      </c>
      <c r="G1386" s="2" t="str">
        <f t="shared" si="290"/>
        <v>E78660</v>
      </c>
      <c r="H1386" s="2" t="str">
        <f t="shared" si="291"/>
        <v>가톨릭대학교 서울성모병원</v>
      </c>
      <c r="I1386" s="2" t="str">
        <f t="shared" si="299"/>
        <v>특수</v>
      </c>
    </row>
    <row r="1387" spans="1:9" x14ac:dyDescent="0.3">
      <c r="A1387" s="2" t="str">
        <f t="shared" si="298"/>
        <v>20250825</v>
      </c>
      <c r="B1387" s="2" t="str">
        <f>"3847416"</f>
        <v>3847416</v>
      </c>
      <c r="C1387" s="2" t="str">
        <f>"윤은주"</f>
        <v>윤은주</v>
      </c>
      <c r="D1387" s="2" t="str">
        <f>"F"</f>
        <v>F</v>
      </c>
      <c r="E1387" s="2" t="str">
        <f>"19711207"</f>
        <v>19711207</v>
      </c>
      <c r="F1387" s="2" t="str">
        <f>"53"</f>
        <v>53</v>
      </c>
      <c r="G1387" s="2" t="str">
        <f t="shared" si="290"/>
        <v>E78660</v>
      </c>
      <c r="H1387" s="2" t="str">
        <f t="shared" si="291"/>
        <v>가톨릭대학교 서울성모병원</v>
      </c>
      <c r="I1387" s="2" t="str">
        <f t="shared" si="299"/>
        <v>특수</v>
      </c>
    </row>
    <row r="1388" spans="1:9" x14ac:dyDescent="0.3">
      <c r="A1388" s="2" t="str">
        <f t="shared" si="298"/>
        <v>20250825</v>
      </c>
      <c r="B1388" s="2" t="str">
        <f>"6715241"</f>
        <v>6715241</v>
      </c>
      <c r="C1388" s="2" t="str">
        <f>"장현식"</f>
        <v>장현식</v>
      </c>
      <c r="D1388" s="2" t="str">
        <f>"M"</f>
        <v>M</v>
      </c>
      <c r="E1388" s="2" t="str">
        <f>"19670330"</f>
        <v>19670330</v>
      </c>
      <c r="F1388" s="2" t="str">
        <f>"58"</f>
        <v>58</v>
      </c>
      <c r="G1388" s="2" t="str">
        <f t="shared" si="290"/>
        <v>E78660</v>
      </c>
      <c r="H1388" s="2" t="str">
        <f t="shared" si="291"/>
        <v>가톨릭대학교 서울성모병원</v>
      </c>
      <c r="I1388" s="2" t="str">
        <f t="shared" si="299"/>
        <v>특수</v>
      </c>
    </row>
    <row r="1389" spans="1:9" x14ac:dyDescent="0.3">
      <c r="A1389" s="2" t="str">
        <f>"20250826"</f>
        <v>20250826</v>
      </c>
      <c r="B1389" s="2" t="str">
        <f>"18471686"</f>
        <v>18471686</v>
      </c>
      <c r="C1389" s="2" t="str">
        <f>"유병현"</f>
        <v>유병현</v>
      </c>
      <c r="D1389" s="2" t="str">
        <f>"M"</f>
        <v>M</v>
      </c>
      <c r="E1389" s="2" t="str">
        <f>"19810627"</f>
        <v>19810627</v>
      </c>
      <c r="F1389" s="2" t="str">
        <f>"44"</f>
        <v>44</v>
      </c>
      <c r="G1389" s="2" t="str">
        <f t="shared" si="290"/>
        <v>E78660</v>
      </c>
      <c r="H1389" s="2" t="str">
        <f t="shared" si="291"/>
        <v>가톨릭대학교 서울성모병원</v>
      </c>
      <c r="I1389" s="2" t="str">
        <f>"배치전"</f>
        <v>배치전</v>
      </c>
    </row>
    <row r="1390" spans="1:9" x14ac:dyDescent="0.3">
      <c r="A1390" s="2" t="str">
        <f>"20250826"</f>
        <v>20250826</v>
      </c>
      <c r="B1390" s="2" t="str">
        <f>"21390866"</f>
        <v>21390866</v>
      </c>
      <c r="C1390" s="2" t="str">
        <f>"김영은"</f>
        <v>김영은</v>
      </c>
      <c r="D1390" s="2" t="str">
        <f>"F"</f>
        <v>F</v>
      </c>
      <c r="E1390" s="2" t="str">
        <f>"19860908"</f>
        <v>19860908</v>
      </c>
      <c r="F1390" s="2" t="str">
        <f>"38"</f>
        <v>38</v>
      </c>
      <c r="G1390" s="2" t="str">
        <f t="shared" si="290"/>
        <v>E78660</v>
      </c>
      <c r="H1390" s="2" t="str">
        <f t="shared" si="291"/>
        <v>가톨릭대학교 서울성모병원</v>
      </c>
      <c r="I1390" s="2" t="str">
        <f>"배치후"</f>
        <v>배치후</v>
      </c>
    </row>
    <row r="1391" spans="1:9" x14ac:dyDescent="0.3">
      <c r="A1391" s="2" t="str">
        <f>"20250826"</f>
        <v>20250826</v>
      </c>
      <c r="B1391" s="2" t="str">
        <f>"32764516"</f>
        <v>32764516</v>
      </c>
      <c r="C1391" s="2" t="str">
        <f>"한지연"</f>
        <v>한지연</v>
      </c>
      <c r="D1391" s="2" t="str">
        <f>"F"</f>
        <v>F</v>
      </c>
      <c r="E1391" s="2" t="str">
        <f>"19950610"</f>
        <v>19950610</v>
      </c>
      <c r="F1391" s="2" t="str">
        <f>"30"</f>
        <v>30</v>
      </c>
      <c r="G1391" s="2" t="str">
        <f t="shared" si="290"/>
        <v>E78660</v>
      </c>
      <c r="H1391" s="2" t="str">
        <f t="shared" si="291"/>
        <v>가톨릭대학교 서울성모병원</v>
      </c>
      <c r="I1391" s="2" t="str">
        <f>"특수"</f>
        <v>특수</v>
      </c>
    </row>
    <row r="1392" spans="1:9" x14ac:dyDescent="0.3">
      <c r="A1392" s="2" t="str">
        <f>"20250826"</f>
        <v>20250826</v>
      </c>
      <c r="B1392" s="2" t="str">
        <f>"33333405"</f>
        <v>33333405</v>
      </c>
      <c r="C1392" s="2" t="str">
        <f>"박찬혁"</f>
        <v>박찬혁</v>
      </c>
      <c r="D1392" s="2" t="str">
        <f>"M"</f>
        <v>M</v>
      </c>
      <c r="E1392" s="2" t="str">
        <f>"19950116"</f>
        <v>19950116</v>
      </c>
      <c r="F1392" s="2" t="str">
        <f>"30"</f>
        <v>30</v>
      </c>
      <c r="G1392" s="2" t="str">
        <f t="shared" si="290"/>
        <v>E78660</v>
      </c>
      <c r="H1392" s="2" t="str">
        <f t="shared" si="291"/>
        <v>가톨릭대학교 서울성모병원</v>
      </c>
      <c r="I1392" s="2" t="str">
        <f>"배치전"</f>
        <v>배치전</v>
      </c>
    </row>
    <row r="1393" spans="1:9" x14ac:dyDescent="0.3">
      <c r="A1393" s="2" t="str">
        <f t="shared" ref="A1393:A1405" si="300">"20250827"</f>
        <v>20250827</v>
      </c>
      <c r="B1393" s="2" t="str">
        <f>"11746490"</f>
        <v>11746490</v>
      </c>
      <c r="C1393" s="2" t="str">
        <f>"권성민"</f>
        <v>권성민</v>
      </c>
      <c r="D1393" s="2" t="str">
        <f>"F"</f>
        <v>F</v>
      </c>
      <c r="E1393" s="2" t="str">
        <f>"19760309"</f>
        <v>19760309</v>
      </c>
      <c r="F1393" s="2" t="str">
        <f>"49"</f>
        <v>49</v>
      </c>
      <c r="G1393" s="2" t="str">
        <f t="shared" si="290"/>
        <v>E78660</v>
      </c>
      <c r="H1393" s="2" t="str">
        <f t="shared" si="291"/>
        <v>가톨릭대학교 서울성모병원</v>
      </c>
      <c r="I1393" s="2" t="str">
        <f>"특수"</f>
        <v>특수</v>
      </c>
    </row>
    <row r="1394" spans="1:9" x14ac:dyDescent="0.3">
      <c r="A1394" s="2" t="str">
        <f t="shared" si="300"/>
        <v>20250827</v>
      </c>
      <c r="B1394" s="2" t="str">
        <f>"12815331"</f>
        <v>12815331</v>
      </c>
      <c r="C1394" s="2" t="str">
        <f>"채계영"</f>
        <v>채계영</v>
      </c>
      <c r="D1394" s="2" t="str">
        <f>"F"</f>
        <v>F</v>
      </c>
      <c r="E1394" s="2" t="str">
        <f>"19790124"</f>
        <v>19790124</v>
      </c>
      <c r="F1394" s="2" t="str">
        <f>"46"</f>
        <v>46</v>
      </c>
      <c r="G1394" s="2" t="str">
        <f t="shared" si="290"/>
        <v>E78660</v>
      </c>
      <c r="H1394" s="2" t="str">
        <f t="shared" si="291"/>
        <v>가톨릭대학교 서울성모병원</v>
      </c>
      <c r="I1394" s="2" t="str">
        <f>"특수"</f>
        <v>특수</v>
      </c>
    </row>
    <row r="1395" spans="1:9" x14ac:dyDescent="0.3">
      <c r="A1395" s="2" t="str">
        <f t="shared" si="300"/>
        <v>20250827</v>
      </c>
      <c r="B1395" s="2" t="str">
        <f>"14263872"</f>
        <v>14263872</v>
      </c>
      <c r="C1395" s="2" t="str">
        <f>"이어진"</f>
        <v>이어진</v>
      </c>
      <c r="D1395" s="2" t="str">
        <f>"F"</f>
        <v>F</v>
      </c>
      <c r="E1395" s="2" t="str">
        <f>"19811019"</f>
        <v>19811019</v>
      </c>
      <c r="F1395" s="2" t="str">
        <f>"43"</f>
        <v>43</v>
      </c>
      <c r="G1395" s="2" t="str">
        <f t="shared" si="290"/>
        <v>E78660</v>
      </c>
      <c r="H1395" s="2" t="str">
        <f t="shared" si="291"/>
        <v>가톨릭대학교 서울성모병원</v>
      </c>
      <c r="I1395" s="2" t="str">
        <f>"특수"</f>
        <v>특수</v>
      </c>
    </row>
    <row r="1396" spans="1:9" x14ac:dyDescent="0.3">
      <c r="A1396" s="2" t="str">
        <f t="shared" si="300"/>
        <v>20250827</v>
      </c>
      <c r="B1396" s="2" t="str">
        <f>"19188449"</f>
        <v>19188449</v>
      </c>
      <c r="C1396" s="2" t="str">
        <f>"김린용"</f>
        <v>김린용</v>
      </c>
      <c r="D1396" s="2" t="str">
        <f>"M"</f>
        <v>M</v>
      </c>
      <c r="E1396" s="2" t="str">
        <f>"19810615"</f>
        <v>19810615</v>
      </c>
      <c r="F1396" s="2" t="str">
        <f>"44"</f>
        <v>44</v>
      </c>
      <c r="G1396" s="2" t="str">
        <f t="shared" si="290"/>
        <v>E78660</v>
      </c>
      <c r="H1396" s="2" t="str">
        <f t="shared" si="291"/>
        <v>가톨릭대학교 서울성모병원</v>
      </c>
      <c r="I1396" s="2" t="str">
        <f>"특수"</f>
        <v>특수</v>
      </c>
    </row>
    <row r="1397" spans="1:9" x14ac:dyDescent="0.3">
      <c r="A1397" s="2" t="str">
        <f t="shared" si="300"/>
        <v>20250827</v>
      </c>
      <c r="B1397" s="2" t="str">
        <f>"19614223"</f>
        <v>19614223</v>
      </c>
      <c r="C1397" s="2" t="str">
        <f>"김승찬"</f>
        <v>김승찬</v>
      </c>
      <c r="D1397" s="2" t="str">
        <f>"M"</f>
        <v>M</v>
      </c>
      <c r="E1397" s="2" t="str">
        <f>"19840510"</f>
        <v>19840510</v>
      </c>
      <c r="F1397" s="2" t="str">
        <f>"41"</f>
        <v>41</v>
      </c>
      <c r="G1397" s="2" t="str">
        <f t="shared" si="290"/>
        <v>E78660</v>
      </c>
      <c r="H1397" s="2" t="str">
        <f t="shared" si="291"/>
        <v>가톨릭대학교 서울성모병원</v>
      </c>
      <c r="I1397" s="2" t="str">
        <f>"배치전"</f>
        <v>배치전</v>
      </c>
    </row>
    <row r="1398" spans="1:9" x14ac:dyDescent="0.3">
      <c r="A1398" s="2" t="str">
        <f t="shared" si="300"/>
        <v>20250827</v>
      </c>
      <c r="B1398" s="2" t="str">
        <f>"22106866"</f>
        <v>22106866</v>
      </c>
      <c r="C1398" s="2" t="str">
        <f>"김진녀"</f>
        <v>김진녀</v>
      </c>
      <c r="D1398" s="2" t="str">
        <f>"F"</f>
        <v>F</v>
      </c>
      <c r="E1398" s="2" t="str">
        <f>"19870503"</f>
        <v>19870503</v>
      </c>
      <c r="F1398" s="2" t="str">
        <f>"38"</f>
        <v>38</v>
      </c>
      <c r="G1398" s="2" t="str">
        <f t="shared" si="290"/>
        <v>E78660</v>
      </c>
      <c r="H1398" s="2" t="str">
        <f t="shared" si="291"/>
        <v>가톨릭대학교 서울성모병원</v>
      </c>
      <c r="I1398" s="2" t="str">
        <f>"특수"</f>
        <v>특수</v>
      </c>
    </row>
    <row r="1399" spans="1:9" x14ac:dyDescent="0.3">
      <c r="A1399" s="2" t="str">
        <f t="shared" si="300"/>
        <v>20250827</v>
      </c>
      <c r="B1399" s="2" t="str">
        <f>"23965833"</f>
        <v>23965833</v>
      </c>
      <c r="C1399" s="2" t="str">
        <f>"허웅"</f>
        <v>허웅</v>
      </c>
      <c r="D1399" s="2" t="str">
        <f>"M"</f>
        <v>M</v>
      </c>
      <c r="E1399" s="2" t="str">
        <f>"19860216"</f>
        <v>19860216</v>
      </c>
      <c r="F1399" s="2" t="str">
        <f>"39"</f>
        <v>39</v>
      </c>
      <c r="G1399" s="2" t="str">
        <f t="shared" si="290"/>
        <v>E78660</v>
      </c>
      <c r="H1399" s="2" t="str">
        <f t="shared" si="291"/>
        <v>가톨릭대학교 서울성모병원</v>
      </c>
      <c r="I1399" s="2" t="str">
        <f>"특수"</f>
        <v>특수</v>
      </c>
    </row>
    <row r="1400" spans="1:9" x14ac:dyDescent="0.3">
      <c r="A1400" s="2" t="str">
        <f t="shared" si="300"/>
        <v>20250827</v>
      </c>
      <c r="B1400" s="2" t="str">
        <f>"30119223"</f>
        <v>30119223</v>
      </c>
      <c r="C1400" s="2" t="str">
        <f>"김휘빈"</f>
        <v>김휘빈</v>
      </c>
      <c r="D1400" s="2" t="str">
        <f>"M"</f>
        <v>M</v>
      </c>
      <c r="E1400" s="2" t="str">
        <f>"19891026"</f>
        <v>19891026</v>
      </c>
      <c r="F1400" s="2" t="str">
        <f>"35"</f>
        <v>35</v>
      </c>
      <c r="G1400" s="2" t="str">
        <f t="shared" si="290"/>
        <v>E78660</v>
      </c>
      <c r="H1400" s="2" t="str">
        <f t="shared" si="291"/>
        <v>가톨릭대학교 서울성모병원</v>
      </c>
      <c r="I1400" s="2" t="str">
        <f>"특수"</f>
        <v>특수</v>
      </c>
    </row>
    <row r="1401" spans="1:9" x14ac:dyDescent="0.3">
      <c r="A1401" s="2" t="str">
        <f t="shared" si="300"/>
        <v>20250827</v>
      </c>
      <c r="B1401" s="2" t="str">
        <f>"39682323"</f>
        <v>39682323</v>
      </c>
      <c r="C1401" s="2" t="str">
        <f>"신이령"</f>
        <v>신이령</v>
      </c>
      <c r="D1401" s="2" t="str">
        <f>"F"</f>
        <v>F</v>
      </c>
      <c r="E1401" s="2" t="str">
        <f>"19871117"</f>
        <v>19871117</v>
      </c>
      <c r="F1401" s="2" t="str">
        <f>"37"</f>
        <v>37</v>
      </c>
      <c r="G1401" s="2" t="str">
        <f t="shared" si="290"/>
        <v>E78660</v>
      </c>
      <c r="H1401" s="2" t="str">
        <f t="shared" si="291"/>
        <v>가톨릭대학교 서울성모병원</v>
      </c>
      <c r="I1401" s="2" t="str">
        <f>"특수"</f>
        <v>특수</v>
      </c>
    </row>
    <row r="1402" spans="1:9" x14ac:dyDescent="0.3">
      <c r="A1402" s="2" t="str">
        <f t="shared" si="300"/>
        <v>20250827</v>
      </c>
      <c r="B1402" s="2" t="str">
        <f>"40512415"</f>
        <v>40512415</v>
      </c>
      <c r="C1402" s="2" t="str">
        <f>"위현화"</f>
        <v>위현화</v>
      </c>
      <c r="D1402" s="2" t="str">
        <f>"F"</f>
        <v>F</v>
      </c>
      <c r="E1402" s="2" t="str">
        <f>"19710401"</f>
        <v>19710401</v>
      </c>
      <c r="F1402" s="2" t="str">
        <f>"54"</f>
        <v>54</v>
      </c>
      <c r="G1402" s="2" t="str">
        <f t="shared" si="290"/>
        <v>E78660</v>
      </c>
      <c r="H1402" s="2" t="str">
        <f t="shared" si="291"/>
        <v>가톨릭대학교 서울성모병원</v>
      </c>
      <c r="I1402" s="2" t="str">
        <f>"특수"</f>
        <v>특수</v>
      </c>
    </row>
    <row r="1403" spans="1:9" x14ac:dyDescent="0.3">
      <c r="A1403" s="2" t="str">
        <f t="shared" si="300"/>
        <v>20250827</v>
      </c>
      <c r="B1403" s="2" t="str">
        <f>"40742513"</f>
        <v>40742513</v>
      </c>
      <c r="C1403" s="2" t="str">
        <f>"이도연"</f>
        <v>이도연</v>
      </c>
      <c r="D1403" s="2" t="str">
        <f>"F"</f>
        <v>F</v>
      </c>
      <c r="E1403" s="2" t="str">
        <f>"19980218"</f>
        <v>19980218</v>
      </c>
      <c r="F1403" s="2" t="str">
        <f>"27"</f>
        <v>27</v>
      </c>
      <c r="G1403" s="2" t="str">
        <f t="shared" si="290"/>
        <v>E78660</v>
      </c>
      <c r="H1403" s="2" t="str">
        <f t="shared" si="291"/>
        <v>가톨릭대학교 서울성모병원</v>
      </c>
      <c r="I1403" s="2" t="str">
        <f>"배치후"</f>
        <v>배치후</v>
      </c>
    </row>
    <row r="1404" spans="1:9" x14ac:dyDescent="0.3">
      <c r="A1404" s="2" t="str">
        <f t="shared" si="300"/>
        <v>20250827</v>
      </c>
      <c r="B1404" s="2" t="str">
        <f>"40763282"</f>
        <v>40763282</v>
      </c>
      <c r="C1404" s="2" t="str">
        <f>"고명재"</f>
        <v>고명재</v>
      </c>
      <c r="D1404" s="2" t="str">
        <f>"M"</f>
        <v>M</v>
      </c>
      <c r="E1404" s="2" t="str">
        <f>"19970224"</f>
        <v>19970224</v>
      </c>
      <c r="F1404" s="2" t="str">
        <f>"28"</f>
        <v>28</v>
      </c>
      <c r="G1404" s="2" t="str">
        <f t="shared" si="290"/>
        <v>E78660</v>
      </c>
      <c r="H1404" s="2" t="str">
        <f t="shared" si="291"/>
        <v>가톨릭대학교 서울성모병원</v>
      </c>
      <c r="I1404" s="2" t="str">
        <f>"배치후"</f>
        <v>배치후</v>
      </c>
    </row>
    <row r="1405" spans="1:9" x14ac:dyDescent="0.3">
      <c r="A1405" s="2" t="str">
        <f t="shared" si="300"/>
        <v>20250827</v>
      </c>
      <c r="B1405" s="2" t="str">
        <f>"41232743"</f>
        <v>41232743</v>
      </c>
      <c r="C1405" s="2" t="str">
        <f>"김우탁"</f>
        <v>김우탁</v>
      </c>
      <c r="D1405" s="2" t="str">
        <f>"M"</f>
        <v>M</v>
      </c>
      <c r="E1405" s="2" t="str">
        <f>"19980903"</f>
        <v>19980903</v>
      </c>
      <c r="F1405" s="2" t="str">
        <f>"27"</f>
        <v>27</v>
      </c>
      <c r="G1405" s="2" t="str">
        <f t="shared" si="290"/>
        <v>E78660</v>
      </c>
      <c r="H1405" s="2" t="str">
        <f t="shared" si="291"/>
        <v>가톨릭대학교 서울성모병원</v>
      </c>
      <c r="I1405" s="2" t="str">
        <f>"배치전"</f>
        <v>배치전</v>
      </c>
    </row>
    <row r="1406" spans="1:9" x14ac:dyDescent="0.3">
      <c r="A1406" s="2" t="str">
        <f t="shared" ref="A1406:A1414" si="301">"20250828"</f>
        <v>20250828</v>
      </c>
      <c r="B1406" s="2" t="str">
        <f>"19515032"</f>
        <v>19515032</v>
      </c>
      <c r="C1406" s="2" t="str">
        <f>"신동호"</f>
        <v>신동호</v>
      </c>
      <c r="D1406" s="2" t="str">
        <f>"M"</f>
        <v>M</v>
      </c>
      <c r="E1406" s="2" t="str">
        <f>"19820519"</f>
        <v>19820519</v>
      </c>
      <c r="F1406" s="2" t="str">
        <f>"43"</f>
        <v>43</v>
      </c>
      <c r="G1406" s="2" t="str">
        <f t="shared" si="290"/>
        <v>E78660</v>
      </c>
      <c r="H1406" s="2" t="str">
        <f t="shared" si="291"/>
        <v>가톨릭대학교 서울성모병원</v>
      </c>
      <c r="I1406" s="2" t="str">
        <f>"특수"</f>
        <v>특수</v>
      </c>
    </row>
    <row r="1407" spans="1:9" x14ac:dyDescent="0.3">
      <c r="A1407" s="2" t="str">
        <f t="shared" si="301"/>
        <v>20250828</v>
      </c>
      <c r="B1407" s="2" t="str">
        <f>"19795796"</f>
        <v>19795796</v>
      </c>
      <c r="C1407" s="2" t="str">
        <f>"이승은"</f>
        <v>이승은</v>
      </c>
      <c r="D1407" s="2" t="str">
        <f>"F"</f>
        <v>F</v>
      </c>
      <c r="E1407" s="2" t="str">
        <f>"19870227"</f>
        <v>19870227</v>
      </c>
      <c r="F1407" s="2" t="str">
        <f>"38"</f>
        <v>38</v>
      </c>
      <c r="G1407" s="2" t="str">
        <f t="shared" si="290"/>
        <v>E78660</v>
      </c>
      <c r="H1407" s="2" t="str">
        <f t="shared" si="291"/>
        <v>가톨릭대학교 서울성모병원</v>
      </c>
      <c r="I1407" s="2" t="str">
        <f>"특수"</f>
        <v>특수</v>
      </c>
    </row>
    <row r="1408" spans="1:9" x14ac:dyDescent="0.3">
      <c r="A1408" s="2" t="str">
        <f t="shared" si="301"/>
        <v>20250828</v>
      </c>
      <c r="B1408" s="2" t="str">
        <f>"21338801"</f>
        <v>21338801</v>
      </c>
      <c r="C1408" s="2" t="str">
        <f>"박영우"</f>
        <v>박영우</v>
      </c>
      <c r="D1408" s="2" t="str">
        <f>"M"</f>
        <v>M</v>
      </c>
      <c r="E1408" s="2" t="str">
        <f>"19830822"</f>
        <v>19830822</v>
      </c>
      <c r="F1408" s="2" t="str">
        <f>"42"</f>
        <v>42</v>
      </c>
      <c r="G1408" s="2" t="str">
        <f t="shared" si="290"/>
        <v>E78660</v>
      </c>
      <c r="H1408" s="2" t="str">
        <f t="shared" si="291"/>
        <v>가톨릭대학교 서울성모병원</v>
      </c>
      <c r="I1408" s="2" t="str">
        <f>"배치전"</f>
        <v>배치전</v>
      </c>
    </row>
    <row r="1409" spans="1:9" x14ac:dyDescent="0.3">
      <c r="A1409" s="2" t="str">
        <f t="shared" si="301"/>
        <v>20250828</v>
      </c>
      <c r="B1409" s="2" t="str">
        <f>"32797713"</f>
        <v>32797713</v>
      </c>
      <c r="C1409" s="2" t="str">
        <f>"서희영"</f>
        <v>서희영</v>
      </c>
      <c r="D1409" s="2" t="str">
        <f>"F"</f>
        <v>F</v>
      </c>
      <c r="E1409" s="2" t="str">
        <f>"19950225"</f>
        <v>19950225</v>
      </c>
      <c r="F1409" s="2" t="str">
        <f>"30"</f>
        <v>30</v>
      </c>
      <c r="G1409" s="2" t="str">
        <f t="shared" si="290"/>
        <v>E78660</v>
      </c>
      <c r="H1409" s="2" t="str">
        <f t="shared" si="291"/>
        <v>가톨릭대학교 서울성모병원</v>
      </c>
      <c r="I1409" s="2" t="str">
        <f t="shared" ref="I1409:I1419" si="302">"특수"</f>
        <v>특수</v>
      </c>
    </row>
    <row r="1410" spans="1:9" x14ac:dyDescent="0.3">
      <c r="A1410" s="2" t="str">
        <f t="shared" si="301"/>
        <v>20250828</v>
      </c>
      <c r="B1410" s="2" t="str">
        <f>"34160711"</f>
        <v>34160711</v>
      </c>
      <c r="C1410" s="2" t="str">
        <f>"공종석"</f>
        <v>공종석</v>
      </c>
      <c r="D1410" s="2" t="str">
        <f>"M"</f>
        <v>M</v>
      </c>
      <c r="E1410" s="2" t="str">
        <f>"19820907"</f>
        <v>19820907</v>
      </c>
      <c r="F1410" s="2" t="str">
        <f>"43"</f>
        <v>43</v>
      </c>
      <c r="G1410" s="2" t="str">
        <f t="shared" si="290"/>
        <v>E78660</v>
      </c>
      <c r="H1410" s="2" t="str">
        <f t="shared" si="291"/>
        <v>가톨릭대학교 서울성모병원</v>
      </c>
      <c r="I1410" s="2" t="str">
        <f t="shared" si="302"/>
        <v>특수</v>
      </c>
    </row>
    <row r="1411" spans="1:9" x14ac:dyDescent="0.3">
      <c r="A1411" s="2" t="str">
        <f t="shared" si="301"/>
        <v>20250828</v>
      </c>
      <c r="B1411" s="2" t="str">
        <f>"35213291"</f>
        <v>35213291</v>
      </c>
      <c r="C1411" s="2" t="str">
        <f>"황세정"</f>
        <v>황세정</v>
      </c>
      <c r="D1411" s="2" t="str">
        <f t="shared" ref="D1411:D1419" si="303">"F"</f>
        <v>F</v>
      </c>
      <c r="E1411" s="2" t="str">
        <f>"19941021"</f>
        <v>19941021</v>
      </c>
      <c r="F1411" s="2" t="str">
        <f>"30"</f>
        <v>30</v>
      </c>
      <c r="G1411" s="2" t="str">
        <f t="shared" si="290"/>
        <v>E78660</v>
      </c>
      <c r="H1411" s="2" t="str">
        <f t="shared" si="291"/>
        <v>가톨릭대학교 서울성모병원</v>
      </c>
      <c r="I1411" s="2" t="str">
        <f t="shared" si="302"/>
        <v>특수</v>
      </c>
    </row>
    <row r="1412" spans="1:9" x14ac:dyDescent="0.3">
      <c r="A1412" s="2" t="str">
        <f t="shared" si="301"/>
        <v>20250828</v>
      </c>
      <c r="B1412" s="2" t="str">
        <f>"35588056"</f>
        <v>35588056</v>
      </c>
      <c r="C1412" s="2" t="str">
        <f>"성다은"</f>
        <v>성다은</v>
      </c>
      <c r="D1412" s="2" t="str">
        <f t="shared" si="303"/>
        <v>F</v>
      </c>
      <c r="E1412" s="2" t="str">
        <f>"19970129"</f>
        <v>19970129</v>
      </c>
      <c r="F1412" s="2" t="str">
        <f>"28"</f>
        <v>28</v>
      </c>
      <c r="G1412" s="2" t="str">
        <f t="shared" si="290"/>
        <v>E78660</v>
      </c>
      <c r="H1412" s="2" t="str">
        <f t="shared" si="291"/>
        <v>가톨릭대학교 서울성모병원</v>
      </c>
      <c r="I1412" s="2" t="str">
        <f t="shared" si="302"/>
        <v>특수</v>
      </c>
    </row>
    <row r="1413" spans="1:9" x14ac:dyDescent="0.3">
      <c r="A1413" s="2" t="str">
        <f t="shared" si="301"/>
        <v>20250828</v>
      </c>
      <c r="B1413" s="2" t="str">
        <f>"37542714"</f>
        <v>37542714</v>
      </c>
      <c r="C1413" s="2" t="str">
        <f>"김정민"</f>
        <v>김정민</v>
      </c>
      <c r="D1413" s="2" t="str">
        <f t="shared" si="303"/>
        <v>F</v>
      </c>
      <c r="E1413" s="2" t="str">
        <f>"19990113"</f>
        <v>19990113</v>
      </c>
      <c r="F1413" s="2" t="str">
        <f>"26"</f>
        <v>26</v>
      </c>
      <c r="G1413" s="2" t="str">
        <f t="shared" ref="G1413:G1476" si="304">"E78660"</f>
        <v>E78660</v>
      </c>
      <c r="H1413" s="2" t="str">
        <f t="shared" ref="H1413:H1476" si="305">"가톨릭대학교 서울성모병원"</f>
        <v>가톨릭대학교 서울성모병원</v>
      </c>
      <c r="I1413" s="2" t="str">
        <f t="shared" si="302"/>
        <v>특수</v>
      </c>
    </row>
    <row r="1414" spans="1:9" x14ac:dyDescent="0.3">
      <c r="A1414" s="2" t="str">
        <f t="shared" si="301"/>
        <v>20250828</v>
      </c>
      <c r="B1414" s="2" t="str">
        <f>"38425432"</f>
        <v>38425432</v>
      </c>
      <c r="C1414" s="2" t="str">
        <f>"이지원"</f>
        <v>이지원</v>
      </c>
      <c r="D1414" s="2" t="str">
        <f t="shared" si="303"/>
        <v>F</v>
      </c>
      <c r="E1414" s="2" t="str">
        <f>"20000714"</f>
        <v>20000714</v>
      </c>
      <c r="F1414" s="2" t="str">
        <f>"25"</f>
        <v>25</v>
      </c>
      <c r="G1414" s="2" t="str">
        <f t="shared" si="304"/>
        <v>E78660</v>
      </c>
      <c r="H1414" s="2" t="str">
        <f t="shared" si="305"/>
        <v>가톨릭대학교 서울성모병원</v>
      </c>
      <c r="I1414" s="2" t="str">
        <f t="shared" si="302"/>
        <v>특수</v>
      </c>
    </row>
    <row r="1415" spans="1:9" x14ac:dyDescent="0.3">
      <c r="A1415" s="2" t="str">
        <f>"20250909"</f>
        <v>20250909</v>
      </c>
      <c r="B1415" s="2" t="str">
        <f>"18939837"</f>
        <v>18939837</v>
      </c>
      <c r="C1415" s="2" t="str">
        <f>"이유선"</f>
        <v>이유선</v>
      </c>
      <c r="D1415" s="2" t="str">
        <f t="shared" si="303"/>
        <v>F</v>
      </c>
      <c r="E1415" s="2" t="str">
        <f>"19850212"</f>
        <v>19850212</v>
      </c>
      <c r="F1415" s="2" t="str">
        <f>"40"</f>
        <v>40</v>
      </c>
      <c r="G1415" s="2" t="str">
        <f t="shared" si="304"/>
        <v>E78660</v>
      </c>
      <c r="H1415" s="2" t="str">
        <f t="shared" si="305"/>
        <v>가톨릭대학교 서울성모병원</v>
      </c>
      <c r="I1415" s="2" t="str">
        <f t="shared" si="302"/>
        <v>특수</v>
      </c>
    </row>
    <row r="1416" spans="1:9" x14ac:dyDescent="0.3">
      <c r="A1416" s="2" t="str">
        <f t="shared" ref="A1416:A1425" si="306">"20250910"</f>
        <v>20250910</v>
      </c>
      <c r="B1416" s="2" t="str">
        <f>"18341108"</f>
        <v>18341108</v>
      </c>
      <c r="C1416" s="2" t="str">
        <f>"전지은"</f>
        <v>전지은</v>
      </c>
      <c r="D1416" s="2" t="str">
        <f t="shared" si="303"/>
        <v>F</v>
      </c>
      <c r="E1416" s="2" t="str">
        <f>"19820901"</f>
        <v>19820901</v>
      </c>
      <c r="F1416" s="2" t="str">
        <f>"43"</f>
        <v>43</v>
      </c>
      <c r="G1416" s="2" t="str">
        <f t="shared" si="304"/>
        <v>E78660</v>
      </c>
      <c r="H1416" s="2" t="str">
        <f t="shared" si="305"/>
        <v>가톨릭대학교 서울성모병원</v>
      </c>
      <c r="I1416" s="2" t="str">
        <f t="shared" si="302"/>
        <v>특수</v>
      </c>
    </row>
    <row r="1417" spans="1:9" x14ac:dyDescent="0.3">
      <c r="A1417" s="2" t="str">
        <f t="shared" si="306"/>
        <v>20250910</v>
      </c>
      <c r="B1417" s="2" t="str">
        <f>"19448520"</f>
        <v>19448520</v>
      </c>
      <c r="C1417" s="2" t="str">
        <f>"위수빈"</f>
        <v>위수빈</v>
      </c>
      <c r="D1417" s="2" t="str">
        <f t="shared" si="303"/>
        <v>F</v>
      </c>
      <c r="E1417" s="2" t="str">
        <f>"19851022"</f>
        <v>19851022</v>
      </c>
      <c r="F1417" s="2" t="str">
        <f>"39"</f>
        <v>39</v>
      </c>
      <c r="G1417" s="2" t="str">
        <f t="shared" si="304"/>
        <v>E78660</v>
      </c>
      <c r="H1417" s="2" t="str">
        <f t="shared" si="305"/>
        <v>가톨릭대학교 서울성모병원</v>
      </c>
      <c r="I1417" s="2" t="str">
        <f t="shared" si="302"/>
        <v>특수</v>
      </c>
    </row>
    <row r="1418" spans="1:9" x14ac:dyDescent="0.3">
      <c r="A1418" s="2" t="str">
        <f t="shared" si="306"/>
        <v>20250910</v>
      </c>
      <c r="B1418" s="2" t="str">
        <f>"21289191"</f>
        <v>21289191</v>
      </c>
      <c r="C1418" s="2" t="str">
        <f>"박열매"</f>
        <v>박열매</v>
      </c>
      <c r="D1418" s="2" t="str">
        <f t="shared" si="303"/>
        <v>F</v>
      </c>
      <c r="E1418" s="2" t="str">
        <f>"19821022"</f>
        <v>19821022</v>
      </c>
      <c r="F1418" s="2" t="str">
        <f>"42"</f>
        <v>42</v>
      </c>
      <c r="G1418" s="2" t="str">
        <f t="shared" si="304"/>
        <v>E78660</v>
      </c>
      <c r="H1418" s="2" t="str">
        <f t="shared" si="305"/>
        <v>가톨릭대학교 서울성모병원</v>
      </c>
      <c r="I1418" s="2" t="str">
        <f t="shared" si="302"/>
        <v>특수</v>
      </c>
    </row>
    <row r="1419" spans="1:9" x14ac:dyDescent="0.3">
      <c r="A1419" s="2" t="str">
        <f t="shared" si="306"/>
        <v>20250910</v>
      </c>
      <c r="B1419" s="2" t="str">
        <f>"32627384"</f>
        <v>32627384</v>
      </c>
      <c r="C1419" s="2" t="str">
        <f>"박소희"</f>
        <v>박소희</v>
      </c>
      <c r="D1419" s="2" t="str">
        <f t="shared" si="303"/>
        <v>F</v>
      </c>
      <c r="E1419" s="2" t="str">
        <f>"19960124"</f>
        <v>19960124</v>
      </c>
      <c r="F1419" s="2" t="str">
        <f>"29"</f>
        <v>29</v>
      </c>
      <c r="G1419" s="2" t="str">
        <f t="shared" si="304"/>
        <v>E78660</v>
      </c>
      <c r="H1419" s="2" t="str">
        <f t="shared" si="305"/>
        <v>가톨릭대학교 서울성모병원</v>
      </c>
      <c r="I1419" s="2" t="str">
        <f t="shared" si="302"/>
        <v>특수</v>
      </c>
    </row>
    <row r="1420" spans="1:9" x14ac:dyDescent="0.3">
      <c r="A1420" s="2" t="str">
        <f t="shared" si="306"/>
        <v>20250910</v>
      </c>
      <c r="B1420" s="2" t="str">
        <f>"35383992"</f>
        <v>35383992</v>
      </c>
      <c r="C1420" s="2" t="str">
        <f>"김대웅"</f>
        <v>김대웅</v>
      </c>
      <c r="D1420" s="2" t="str">
        <f>"M"</f>
        <v>M</v>
      </c>
      <c r="E1420" s="2" t="str">
        <f>"19940605"</f>
        <v>19940605</v>
      </c>
      <c r="F1420" s="2" t="str">
        <f>"31"</f>
        <v>31</v>
      </c>
      <c r="G1420" s="2" t="str">
        <f t="shared" si="304"/>
        <v>E78660</v>
      </c>
      <c r="H1420" s="2" t="str">
        <f t="shared" si="305"/>
        <v>가톨릭대학교 서울성모병원</v>
      </c>
      <c r="I1420" s="2" t="str">
        <f>"배치전"</f>
        <v>배치전</v>
      </c>
    </row>
    <row r="1421" spans="1:9" x14ac:dyDescent="0.3">
      <c r="A1421" s="2" t="str">
        <f t="shared" si="306"/>
        <v>20250910</v>
      </c>
      <c r="B1421" s="2" t="str">
        <f>"39669573"</f>
        <v>39669573</v>
      </c>
      <c r="C1421" s="2" t="str">
        <f>"이주봉"</f>
        <v>이주봉</v>
      </c>
      <c r="D1421" s="2" t="str">
        <f>"M"</f>
        <v>M</v>
      </c>
      <c r="E1421" s="2" t="str">
        <f>"20001224"</f>
        <v>20001224</v>
      </c>
      <c r="F1421" s="2" t="str">
        <f>"24"</f>
        <v>24</v>
      </c>
      <c r="G1421" s="2" t="str">
        <f t="shared" si="304"/>
        <v>E78660</v>
      </c>
      <c r="H1421" s="2" t="str">
        <f t="shared" si="305"/>
        <v>가톨릭대학교 서울성모병원</v>
      </c>
      <c r="I1421" s="2" t="str">
        <f>"배치후"</f>
        <v>배치후</v>
      </c>
    </row>
    <row r="1422" spans="1:9" x14ac:dyDescent="0.3">
      <c r="A1422" s="2" t="str">
        <f t="shared" si="306"/>
        <v>20250910</v>
      </c>
      <c r="B1422" s="2" t="str">
        <f>"39713831"</f>
        <v>39713831</v>
      </c>
      <c r="C1422" s="2" t="str">
        <f>"주혜성"</f>
        <v>주혜성</v>
      </c>
      <c r="D1422" s="2" t="str">
        <f>"M"</f>
        <v>M</v>
      </c>
      <c r="E1422" s="2" t="str">
        <f>"19950718"</f>
        <v>19950718</v>
      </c>
      <c r="F1422" s="2" t="str">
        <f>"30"</f>
        <v>30</v>
      </c>
      <c r="G1422" s="2" t="str">
        <f t="shared" si="304"/>
        <v>E78660</v>
      </c>
      <c r="H1422" s="2" t="str">
        <f t="shared" si="305"/>
        <v>가톨릭대학교 서울성모병원</v>
      </c>
      <c r="I1422" s="2" t="str">
        <f>"특수"</f>
        <v>특수</v>
      </c>
    </row>
    <row r="1423" spans="1:9" x14ac:dyDescent="0.3">
      <c r="A1423" s="2" t="str">
        <f t="shared" si="306"/>
        <v>20250910</v>
      </c>
      <c r="B1423" s="2" t="str">
        <f>"40742522"</f>
        <v>40742522</v>
      </c>
      <c r="C1423" s="2" t="str">
        <f>"이수연"</f>
        <v>이수연</v>
      </c>
      <c r="D1423" s="2" t="str">
        <f>"F"</f>
        <v>F</v>
      </c>
      <c r="E1423" s="2" t="str">
        <f>"19990506"</f>
        <v>19990506</v>
      </c>
      <c r="F1423" s="2" t="str">
        <f>"26"</f>
        <v>26</v>
      </c>
      <c r="G1423" s="2" t="str">
        <f t="shared" si="304"/>
        <v>E78660</v>
      </c>
      <c r="H1423" s="2" t="str">
        <f t="shared" si="305"/>
        <v>가톨릭대학교 서울성모병원</v>
      </c>
      <c r="I1423" s="2" t="str">
        <f>"배치후"</f>
        <v>배치후</v>
      </c>
    </row>
    <row r="1424" spans="1:9" x14ac:dyDescent="0.3">
      <c r="A1424" s="2" t="str">
        <f t="shared" si="306"/>
        <v>20250910</v>
      </c>
      <c r="B1424" s="2" t="str">
        <f>"40760280"</f>
        <v>40760280</v>
      </c>
      <c r="C1424" s="2" t="str">
        <f>"김예리"</f>
        <v>김예리</v>
      </c>
      <c r="D1424" s="2" t="str">
        <f>"F"</f>
        <v>F</v>
      </c>
      <c r="E1424" s="2" t="str">
        <f>"19951101"</f>
        <v>19951101</v>
      </c>
      <c r="F1424" s="2" t="str">
        <f>"29"</f>
        <v>29</v>
      </c>
      <c r="G1424" s="2" t="str">
        <f t="shared" si="304"/>
        <v>E78660</v>
      </c>
      <c r="H1424" s="2" t="str">
        <f t="shared" si="305"/>
        <v>가톨릭대학교 서울성모병원</v>
      </c>
      <c r="I1424" s="2" t="str">
        <f>"배치후"</f>
        <v>배치후</v>
      </c>
    </row>
    <row r="1425" spans="1:9" x14ac:dyDescent="0.3">
      <c r="A1425" s="2" t="str">
        <f t="shared" si="306"/>
        <v>20250910</v>
      </c>
      <c r="B1425" s="2" t="str">
        <f>"40778356"</f>
        <v>40778356</v>
      </c>
      <c r="C1425" s="2" t="str">
        <f>"이혜원"</f>
        <v>이혜원</v>
      </c>
      <c r="D1425" s="2" t="str">
        <f>"F"</f>
        <v>F</v>
      </c>
      <c r="E1425" s="2" t="str">
        <f>"19971217"</f>
        <v>19971217</v>
      </c>
      <c r="F1425" s="2" t="str">
        <f>"27"</f>
        <v>27</v>
      </c>
      <c r="G1425" s="2" t="str">
        <f t="shared" si="304"/>
        <v>E78660</v>
      </c>
      <c r="H1425" s="2" t="str">
        <f t="shared" si="305"/>
        <v>가톨릭대학교 서울성모병원</v>
      </c>
      <c r="I1425" s="2" t="str">
        <f>"배치후"</f>
        <v>배치후</v>
      </c>
    </row>
    <row r="1426" spans="1:9" x14ac:dyDescent="0.3">
      <c r="A1426" s="2" t="str">
        <f t="shared" ref="A1426:A1440" si="307">"20250911"</f>
        <v>20250911</v>
      </c>
      <c r="B1426" s="2" t="str">
        <f>"11836794"</f>
        <v>11836794</v>
      </c>
      <c r="C1426" s="2" t="str">
        <f>"박재수"</f>
        <v>박재수</v>
      </c>
      <c r="D1426" s="2" t="str">
        <f>"M"</f>
        <v>M</v>
      </c>
      <c r="E1426" s="2" t="str">
        <f>"19710407"</f>
        <v>19710407</v>
      </c>
      <c r="F1426" s="2" t="str">
        <f>"54"</f>
        <v>54</v>
      </c>
      <c r="G1426" s="2" t="str">
        <f t="shared" si="304"/>
        <v>E78660</v>
      </c>
      <c r="H1426" s="2" t="str">
        <f t="shared" si="305"/>
        <v>가톨릭대학교 서울성모병원</v>
      </c>
      <c r="I1426" s="2" t="str">
        <f>"특수"</f>
        <v>특수</v>
      </c>
    </row>
    <row r="1427" spans="1:9" x14ac:dyDescent="0.3">
      <c r="A1427" s="2" t="str">
        <f t="shared" si="307"/>
        <v>20250911</v>
      </c>
      <c r="B1427" s="2" t="str">
        <f>"17706509"</f>
        <v>17706509</v>
      </c>
      <c r="C1427" s="2" t="str">
        <f>"이영미"</f>
        <v>이영미</v>
      </c>
      <c r="D1427" s="2" t="str">
        <f t="shared" ref="D1427:D1432" si="308">"F"</f>
        <v>F</v>
      </c>
      <c r="E1427" s="2" t="str">
        <f>"19770409"</f>
        <v>19770409</v>
      </c>
      <c r="F1427" s="2" t="str">
        <f>"48"</f>
        <v>48</v>
      </c>
      <c r="G1427" s="2" t="str">
        <f t="shared" si="304"/>
        <v>E78660</v>
      </c>
      <c r="H1427" s="2" t="str">
        <f t="shared" si="305"/>
        <v>가톨릭대학교 서울성모병원</v>
      </c>
      <c r="I1427" s="2" t="str">
        <f>"특수"</f>
        <v>특수</v>
      </c>
    </row>
    <row r="1428" spans="1:9" x14ac:dyDescent="0.3">
      <c r="A1428" s="2" t="str">
        <f t="shared" si="307"/>
        <v>20250911</v>
      </c>
      <c r="B1428" s="2" t="str">
        <f>"17966830"</f>
        <v>17966830</v>
      </c>
      <c r="C1428" s="2" t="str">
        <f>"최민영"</f>
        <v>최민영</v>
      </c>
      <c r="D1428" s="2" t="str">
        <f t="shared" si="308"/>
        <v>F</v>
      </c>
      <c r="E1428" s="2" t="str">
        <f>"19950429"</f>
        <v>19950429</v>
      </c>
      <c r="F1428" s="2" t="str">
        <f>"30"</f>
        <v>30</v>
      </c>
      <c r="G1428" s="2" t="str">
        <f t="shared" si="304"/>
        <v>E78660</v>
      </c>
      <c r="H1428" s="2" t="str">
        <f t="shared" si="305"/>
        <v>가톨릭대학교 서울성모병원</v>
      </c>
      <c r="I1428" s="2" t="str">
        <f>"배치후"</f>
        <v>배치후</v>
      </c>
    </row>
    <row r="1429" spans="1:9" x14ac:dyDescent="0.3">
      <c r="A1429" s="2" t="str">
        <f t="shared" si="307"/>
        <v>20250911</v>
      </c>
      <c r="B1429" s="2" t="str">
        <f>"28189623"</f>
        <v>28189623</v>
      </c>
      <c r="C1429" s="2" t="str">
        <f>"강희지"</f>
        <v>강희지</v>
      </c>
      <c r="D1429" s="2" t="str">
        <f t="shared" si="308"/>
        <v>F</v>
      </c>
      <c r="E1429" s="2" t="str">
        <f>"19911125"</f>
        <v>19911125</v>
      </c>
      <c r="F1429" s="2" t="str">
        <f>"33"</f>
        <v>33</v>
      </c>
      <c r="G1429" s="2" t="str">
        <f t="shared" si="304"/>
        <v>E78660</v>
      </c>
      <c r="H1429" s="2" t="str">
        <f t="shared" si="305"/>
        <v>가톨릭대학교 서울성모병원</v>
      </c>
      <c r="I1429" s="2" t="str">
        <f>"특수"</f>
        <v>특수</v>
      </c>
    </row>
    <row r="1430" spans="1:9" x14ac:dyDescent="0.3">
      <c r="A1430" s="2" t="str">
        <f t="shared" si="307"/>
        <v>20250911</v>
      </c>
      <c r="B1430" s="2" t="str">
        <f>"32627503"</f>
        <v>32627503</v>
      </c>
      <c r="C1430" s="2" t="str">
        <f>"박보얀"</f>
        <v>박보얀</v>
      </c>
      <c r="D1430" s="2" t="str">
        <f t="shared" si="308"/>
        <v>F</v>
      </c>
      <c r="E1430" s="2" t="str">
        <f>"19910210"</f>
        <v>19910210</v>
      </c>
      <c r="F1430" s="2" t="str">
        <f>"34"</f>
        <v>34</v>
      </c>
      <c r="G1430" s="2" t="str">
        <f t="shared" si="304"/>
        <v>E78660</v>
      </c>
      <c r="H1430" s="2" t="str">
        <f t="shared" si="305"/>
        <v>가톨릭대학교 서울성모병원</v>
      </c>
      <c r="I1430" s="2" t="str">
        <f>"특수"</f>
        <v>특수</v>
      </c>
    </row>
    <row r="1431" spans="1:9" x14ac:dyDescent="0.3">
      <c r="A1431" s="2" t="str">
        <f t="shared" si="307"/>
        <v>20250911</v>
      </c>
      <c r="B1431" s="2" t="str">
        <f>"33466002"</f>
        <v>33466002</v>
      </c>
      <c r="C1431" s="2" t="str">
        <f>"이소희"</f>
        <v>이소희</v>
      </c>
      <c r="D1431" s="2" t="str">
        <f t="shared" si="308"/>
        <v>F</v>
      </c>
      <c r="E1431" s="2" t="str">
        <f>"19951006"</f>
        <v>19951006</v>
      </c>
      <c r="F1431" s="2" t="str">
        <f>"29"</f>
        <v>29</v>
      </c>
      <c r="G1431" s="2" t="str">
        <f t="shared" si="304"/>
        <v>E78660</v>
      </c>
      <c r="H1431" s="2" t="str">
        <f t="shared" si="305"/>
        <v>가톨릭대학교 서울성모병원</v>
      </c>
      <c r="I1431" s="2" t="str">
        <f>"특수"</f>
        <v>특수</v>
      </c>
    </row>
    <row r="1432" spans="1:9" x14ac:dyDescent="0.3">
      <c r="A1432" s="2" t="str">
        <f t="shared" si="307"/>
        <v>20250911</v>
      </c>
      <c r="B1432" s="2" t="str">
        <f>"35142574"</f>
        <v>35142574</v>
      </c>
      <c r="C1432" s="2" t="str">
        <f>"양하은"</f>
        <v>양하은</v>
      </c>
      <c r="D1432" s="2" t="str">
        <f t="shared" si="308"/>
        <v>F</v>
      </c>
      <c r="E1432" s="2" t="str">
        <f>"20001226"</f>
        <v>20001226</v>
      </c>
      <c r="F1432" s="2" t="str">
        <f>"24"</f>
        <v>24</v>
      </c>
      <c r="G1432" s="2" t="str">
        <f t="shared" si="304"/>
        <v>E78660</v>
      </c>
      <c r="H1432" s="2" t="str">
        <f t="shared" si="305"/>
        <v>가톨릭대학교 서울성모병원</v>
      </c>
      <c r="I1432" s="2" t="str">
        <f>"배치후"</f>
        <v>배치후</v>
      </c>
    </row>
    <row r="1433" spans="1:9" x14ac:dyDescent="0.3">
      <c r="A1433" s="2" t="str">
        <f t="shared" si="307"/>
        <v>20250911</v>
      </c>
      <c r="B1433" s="2" t="str">
        <f>"39050523"</f>
        <v>39050523</v>
      </c>
      <c r="C1433" s="2" t="str">
        <f>"홍일준"</f>
        <v>홍일준</v>
      </c>
      <c r="D1433" s="2" t="str">
        <f>"M"</f>
        <v>M</v>
      </c>
      <c r="E1433" s="2" t="str">
        <f>"19911006"</f>
        <v>19911006</v>
      </c>
      <c r="F1433" s="2" t="str">
        <f>"33"</f>
        <v>33</v>
      </c>
      <c r="G1433" s="2" t="str">
        <f t="shared" si="304"/>
        <v>E78660</v>
      </c>
      <c r="H1433" s="2" t="str">
        <f t="shared" si="305"/>
        <v>가톨릭대학교 서울성모병원</v>
      </c>
      <c r="I1433" s="2" t="str">
        <f>"특수"</f>
        <v>특수</v>
      </c>
    </row>
    <row r="1434" spans="1:9" x14ac:dyDescent="0.3">
      <c r="A1434" s="2" t="str">
        <f t="shared" si="307"/>
        <v>20250911</v>
      </c>
      <c r="B1434" s="2" t="str">
        <f>"39688710"</f>
        <v>39688710</v>
      </c>
      <c r="C1434" s="2" t="str">
        <f>"정륜남"</f>
        <v>정륜남</v>
      </c>
      <c r="D1434" s="2" t="str">
        <f t="shared" ref="D1434:D1439" si="309">"F"</f>
        <v>F</v>
      </c>
      <c r="E1434" s="2" t="str">
        <f>"19991029"</f>
        <v>19991029</v>
      </c>
      <c r="F1434" s="2" t="str">
        <f>"25"</f>
        <v>25</v>
      </c>
      <c r="G1434" s="2" t="str">
        <f t="shared" si="304"/>
        <v>E78660</v>
      </c>
      <c r="H1434" s="2" t="str">
        <f t="shared" si="305"/>
        <v>가톨릭대학교 서울성모병원</v>
      </c>
      <c r="I1434" s="2" t="str">
        <f>"특수"</f>
        <v>특수</v>
      </c>
    </row>
    <row r="1435" spans="1:9" x14ac:dyDescent="0.3">
      <c r="A1435" s="2" t="str">
        <f t="shared" si="307"/>
        <v>20250911</v>
      </c>
      <c r="B1435" s="2" t="str">
        <f>"40648054"</f>
        <v>40648054</v>
      </c>
      <c r="C1435" s="2" t="str">
        <f>"이다인"</f>
        <v>이다인</v>
      </c>
      <c r="D1435" s="2" t="str">
        <f t="shared" si="309"/>
        <v>F</v>
      </c>
      <c r="E1435" s="2" t="str">
        <f>"20010201"</f>
        <v>20010201</v>
      </c>
      <c r="F1435" s="2" t="str">
        <f>"24"</f>
        <v>24</v>
      </c>
      <c r="G1435" s="2" t="str">
        <f t="shared" si="304"/>
        <v>E78660</v>
      </c>
      <c r="H1435" s="2" t="str">
        <f t="shared" si="305"/>
        <v>가톨릭대학교 서울성모병원</v>
      </c>
      <c r="I1435" s="2" t="str">
        <f t="shared" ref="I1435:I1440" si="310">"배치후"</f>
        <v>배치후</v>
      </c>
    </row>
    <row r="1436" spans="1:9" x14ac:dyDescent="0.3">
      <c r="A1436" s="2" t="str">
        <f t="shared" si="307"/>
        <v>20250911</v>
      </c>
      <c r="B1436" s="2" t="str">
        <f>"40648324"</f>
        <v>40648324</v>
      </c>
      <c r="C1436" s="2" t="str">
        <f>"고유리"</f>
        <v>고유리</v>
      </c>
      <c r="D1436" s="2" t="str">
        <f t="shared" si="309"/>
        <v>F</v>
      </c>
      <c r="E1436" s="2" t="str">
        <f>"19981124"</f>
        <v>19981124</v>
      </c>
      <c r="F1436" s="2" t="str">
        <f>"26"</f>
        <v>26</v>
      </c>
      <c r="G1436" s="2" t="str">
        <f t="shared" si="304"/>
        <v>E78660</v>
      </c>
      <c r="H1436" s="2" t="str">
        <f t="shared" si="305"/>
        <v>가톨릭대학교 서울성모병원</v>
      </c>
      <c r="I1436" s="2" t="str">
        <f t="shared" si="310"/>
        <v>배치후</v>
      </c>
    </row>
    <row r="1437" spans="1:9" x14ac:dyDescent="0.3">
      <c r="A1437" s="2" t="str">
        <f t="shared" si="307"/>
        <v>20250911</v>
      </c>
      <c r="B1437" s="2" t="str">
        <f>"40672482"</f>
        <v>40672482</v>
      </c>
      <c r="C1437" s="2" t="str">
        <f>"이신영"</f>
        <v>이신영</v>
      </c>
      <c r="D1437" s="2" t="str">
        <f t="shared" si="309"/>
        <v>F</v>
      </c>
      <c r="E1437" s="2" t="str">
        <f>"19990406"</f>
        <v>19990406</v>
      </c>
      <c r="F1437" s="2" t="str">
        <f>"26"</f>
        <v>26</v>
      </c>
      <c r="G1437" s="2" t="str">
        <f t="shared" si="304"/>
        <v>E78660</v>
      </c>
      <c r="H1437" s="2" t="str">
        <f t="shared" si="305"/>
        <v>가톨릭대학교 서울성모병원</v>
      </c>
      <c r="I1437" s="2" t="str">
        <f t="shared" si="310"/>
        <v>배치후</v>
      </c>
    </row>
    <row r="1438" spans="1:9" x14ac:dyDescent="0.3">
      <c r="A1438" s="2" t="str">
        <f t="shared" si="307"/>
        <v>20250911</v>
      </c>
      <c r="B1438" s="2" t="str">
        <f>"40770035"</f>
        <v>40770035</v>
      </c>
      <c r="C1438" s="2" t="str">
        <f>"강진주"</f>
        <v>강진주</v>
      </c>
      <c r="D1438" s="2" t="str">
        <f t="shared" si="309"/>
        <v>F</v>
      </c>
      <c r="E1438" s="2" t="str">
        <f>"19960630"</f>
        <v>19960630</v>
      </c>
      <c r="F1438" s="2" t="str">
        <f>"29"</f>
        <v>29</v>
      </c>
      <c r="G1438" s="2" t="str">
        <f t="shared" si="304"/>
        <v>E78660</v>
      </c>
      <c r="H1438" s="2" t="str">
        <f t="shared" si="305"/>
        <v>가톨릭대학교 서울성모병원</v>
      </c>
      <c r="I1438" s="2" t="str">
        <f t="shared" si="310"/>
        <v>배치후</v>
      </c>
    </row>
    <row r="1439" spans="1:9" x14ac:dyDescent="0.3">
      <c r="A1439" s="2" t="str">
        <f t="shared" si="307"/>
        <v>20250911</v>
      </c>
      <c r="B1439" s="2" t="str">
        <f>"40776413"</f>
        <v>40776413</v>
      </c>
      <c r="C1439" s="2" t="str">
        <f>"박정미"</f>
        <v>박정미</v>
      </c>
      <c r="D1439" s="2" t="str">
        <f t="shared" si="309"/>
        <v>F</v>
      </c>
      <c r="E1439" s="2" t="str">
        <f>"19710921"</f>
        <v>19710921</v>
      </c>
      <c r="F1439" s="2" t="str">
        <f>"54"</f>
        <v>54</v>
      </c>
      <c r="G1439" s="2" t="str">
        <f t="shared" si="304"/>
        <v>E78660</v>
      </c>
      <c r="H1439" s="2" t="str">
        <f t="shared" si="305"/>
        <v>가톨릭대학교 서울성모병원</v>
      </c>
      <c r="I1439" s="2" t="str">
        <f t="shared" si="310"/>
        <v>배치후</v>
      </c>
    </row>
    <row r="1440" spans="1:9" x14ac:dyDescent="0.3">
      <c r="A1440" s="2" t="str">
        <f t="shared" si="307"/>
        <v>20250911</v>
      </c>
      <c r="B1440" s="2" t="str">
        <f>"40780991"</f>
        <v>40780991</v>
      </c>
      <c r="C1440" s="2" t="str">
        <f>"성제현"</f>
        <v>성제현</v>
      </c>
      <c r="D1440" s="2" t="str">
        <f>"M"</f>
        <v>M</v>
      </c>
      <c r="E1440" s="2" t="str">
        <f>"20000828"</f>
        <v>20000828</v>
      </c>
      <c r="F1440" s="2" t="str">
        <f>"25"</f>
        <v>25</v>
      </c>
      <c r="G1440" s="2" t="str">
        <f t="shared" si="304"/>
        <v>E78660</v>
      </c>
      <c r="H1440" s="2" t="str">
        <f t="shared" si="305"/>
        <v>가톨릭대학교 서울성모병원</v>
      </c>
      <c r="I1440" s="2" t="str">
        <f t="shared" si="310"/>
        <v>배치후</v>
      </c>
    </row>
    <row r="1441" spans="1:9" x14ac:dyDescent="0.3">
      <c r="A1441" s="2" t="str">
        <f t="shared" ref="A1441:A1449" si="311">"20250915"</f>
        <v>20250915</v>
      </c>
      <c r="B1441" s="2" t="str">
        <f>"13885804"</f>
        <v>13885804</v>
      </c>
      <c r="C1441" s="2" t="str">
        <f>"장정은"</f>
        <v>장정은</v>
      </c>
      <c r="D1441" s="2" t="str">
        <f t="shared" ref="D1441:D1446" si="312">"F"</f>
        <v>F</v>
      </c>
      <c r="E1441" s="2" t="str">
        <f>"19800218"</f>
        <v>19800218</v>
      </c>
      <c r="F1441" s="2" t="str">
        <f>"45"</f>
        <v>45</v>
      </c>
      <c r="G1441" s="2" t="str">
        <f t="shared" si="304"/>
        <v>E78660</v>
      </c>
      <c r="H1441" s="2" t="str">
        <f t="shared" si="305"/>
        <v>가톨릭대학교 서울성모병원</v>
      </c>
      <c r="I1441" s="2" t="str">
        <f>"특수"</f>
        <v>특수</v>
      </c>
    </row>
    <row r="1442" spans="1:9" x14ac:dyDescent="0.3">
      <c r="A1442" s="2" t="str">
        <f t="shared" si="311"/>
        <v>20250915</v>
      </c>
      <c r="B1442" s="2" t="str">
        <f>"17015869"</f>
        <v>17015869</v>
      </c>
      <c r="C1442" s="2" t="str">
        <f>"김혜준"</f>
        <v>김혜준</v>
      </c>
      <c r="D1442" s="2" t="str">
        <f t="shared" si="312"/>
        <v>F</v>
      </c>
      <c r="E1442" s="2" t="str">
        <f>"19960222"</f>
        <v>19960222</v>
      </c>
      <c r="F1442" s="2" t="str">
        <f>"29"</f>
        <v>29</v>
      </c>
      <c r="G1442" s="2" t="str">
        <f t="shared" si="304"/>
        <v>E78660</v>
      </c>
      <c r="H1442" s="2" t="str">
        <f t="shared" si="305"/>
        <v>가톨릭대학교 서울성모병원</v>
      </c>
      <c r="I1442" s="2" t="str">
        <f>"특수"</f>
        <v>특수</v>
      </c>
    </row>
    <row r="1443" spans="1:9" x14ac:dyDescent="0.3">
      <c r="A1443" s="2" t="str">
        <f t="shared" si="311"/>
        <v>20250915</v>
      </c>
      <c r="B1443" s="2" t="str">
        <f>"38351602"</f>
        <v>38351602</v>
      </c>
      <c r="C1443" s="2" t="str">
        <f>"손예윤"</f>
        <v>손예윤</v>
      </c>
      <c r="D1443" s="2" t="str">
        <f t="shared" si="312"/>
        <v>F</v>
      </c>
      <c r="E1443" s="2" t="str">
        <f>"19961106"</f>
        <v>19961106</v>
      </c>
      <c r="F1443" s="2" t="str">
        <f>"28"</f>
        <v>28</v>
      </c>
      <c r="G1443" s="2" t="str">
        <f t="shared" si="304"/>
        <v>E78660</v>
      </c>
      <c r="H1443" s="2" t="str">
        <f t="shared" si="305"/>
        <v>가톨릭대학교 서울성모병원</v>
      </c>
      <c r="I1443" s="2" t="str">
        <f>"배치전"</f>
        <v>배치전</v>
      </c>
    </row>
    <row r="1444" spans="1:9" x14ac:dyDescent="0.3">
      <c r="A1444" s="2" t="str">
        <f t="shared" si="311"/>
        <v>20250915</v>
      </c>
      <c r="B1444" s="2" t="str">
        <f>"40722575"</f>
        <v>40722575</v>
      </c>
      <c r="C1444" s="2" t="str">
        <f>"김선하"</f>
        <v>김선하</v>
      </c>
      <c r="D1444" s="2" t="str">
        <f t="shared" si="312"/>
        <v>F</v>
      </c>
      <c r="E1444" s="2" t="str">
        <f>"19950316"</f>
        <v>19950316</v>
      </c>
      <c r="F1444" s="2" t="str">
        <f>"30"</f>
        <v>30</v>
      </c>
      <c r="G1444" s="2" t="str">
        <f t="shared" si="304"/>
        <v>E78660</v>
      </c>
      <c r="H1444" s="2" t="str">
        <f t="shared" si="305"/>
        <v>가톨릭대학교 서울성모병원</v>
      </c>
      <c r="I1444" s="2" t="str">
        <f>"배치후"</f>
        <v>배치후</v>
      </c>
    </row>
    <row r="1445" spans="1:9" x14ac:dyDescent="0.3">
      <c r="A1445" s="2" t="str">
        <f t="shared" si="311"/>
        <v>20250915</v>
      </c>
      <c r="B1445" s="2" t="str">
        <f>"40722634"</f>
        <v>40722634</v>
      </c>
      <c r="C1445" s="2" t="str">
        <f>"박서연"</f>
        <v>박서연</v>
      </c>
      <c r="D1445" s="2" t="str">
        <f t="shared" si="312"/>
        <v>F</v>
      </c>
      <c r="E1445" s="2" t="str">
        <f>"19990912"</f>
        <v>19990912</v>
      </c>
      <c r="F1445" s="2" t="str">
        <f>"26"</f>
        <v>26</v>
      </c>
      <c r="G1445" s="2" t="str">
        <f t="shared" si="304"/>
        <v>E78660</v>
      </c>
      <c r="H1445" s="2" t="str">
        <f t="shared" si="305"/>
        <v>가톨릭대학교 서울성모병원</v>
      </c>
      <c r="I1445" s="2" t="str">
        <f>"배치후"</f>
        <v>배치후</v>
      </c>
    </row>
    <row r="1446" spans="1:9" x14ac:dyDescent="0.3">
      <c r="A1446" s="2" t="str">
        <f t="shared" si="311"/>
        <v>20250915</v>
      </c>
      <c r="B1446" s="2" t="str">
        <f>"40735321"</f>
        <v>40735321</v>
      </c>
      <c r="C1446" s="2" t="str">
        <f>"황옥환"</f>
        <v>황옥환</v>
      </c>
      <c r="D1446" s="2" t="str">
        <f t="shared" si="312"/>
        <v>F</v>
      </c>
      <c r="E1446" s="2" t="str">
        <f>"19880621"</f>
        <v>19880621</v>
      </c>
      <c r="F1446" s="2" t="str">
        <f>"37"</f>
        <v>37</v>
      </c>
      <c r="G1446" s="2" t="str">
        <f t="shared" si="304"/>
        <v>E78660</v>
      </c>
      <c r="H1446" s="2" t="str">
        <f t="shared" si="305"/>
        <v>가톨릭대학교 서울성모병원</v>
      </c>
      <c r="I1446" s="2" t="str">
        <f>"배치후"</f>
        <v>배치후</v>
      </c>
    </row>
    <row r="1447" spans="1:9" x14ac:dyDescent="0.3">
      <c r="A1447" s="2" t="str">
        <f t="shared" si="311"/>
        <v>20250915</v>
      </c>
      <c r="B1447" s="2" t="str">
        <f>"40742493"</f>
        <v>40742493</v>
      </c>
      <c r="C1447" s="2" t="str">
        <f>"선우성"</f>
        <v>선우성</v>
      </c>
      <c r="D1447" s="2" t="str">
        <f>"M"</f>
        <v>M</v>
      </c>
      <c r="E1447" s="2" t="str">
        <f>"20000816"</f>
        <v>20000816</v>
      </c>
      <c r="F1447" s="2" t="str">
        <f>"25"</f>
        <v>25</v>
      </c>
      <c r="G1447" s="2" t="str">
        <f t="shared" si="304"/>
        <v>E78660</v>
      </c>
      <c r="H1447" s="2" t="str">
        <f t="shared" si="305"/>
        <v>가톨릭대학교 서울성모병원</v>
      </c>
      <c r="I1447" s="2" t="str">
        <f>"배치후"</f>
        <v>배치후</v>
      </c>
    </row>
    <row r="1448" spans="1:9" x14ac:dyDescent="0.3">
      <c r="A1448" s="2" t="str">
        <f t="shared" si="311"/>
        <v>20250915</v>
      </c>
      <c r="B1448" s="2" t="str">
        <f>"40746245"</f>
        <v>40746245</v>
      </c>
      <c r="C1448" s="2" t="str">
        <f>"이다은"</f>
        <v>이다은</v>
      </c>
      <c r="D1448" s="2" t="str">
        <f>"F"</f>
        <v>F</v>
      </c>
      <c r="E1448" s="2" t="str">
        <f>"19920930"</f>
        <v>19920930</v>
      </c>
      <c r="F1448" s="2" t="str">
        <f>"32"</f>
        <v>32</v>
      </c>
      <c r="G1448" s="2" t="str">
        <f t="shared" si="304"/>
        <v>E78660</v>
      </c>
      <c r="H1448" s="2" t="str">
        <f t="shared" si="305"/>
        <v>가톨릭대학교 서울성모병원</v>
      </c>
      <c r="I1448" s="2" t="str">
        <f>"배치후"</f>
        <v>배치후</v>
      </c>
    </row>
    <row r="1449" spans="1:9" x14ac:dyDescent="0.3">
      <c r="A1449" s="2" t="str">
        <f t="shared" si="311"/>
        <v>20250915</v>
      </c>
      <c r="B1449" s="2" t="str">
        <f>"7413218"</f>
        <v>7413218</v>
      </c>
      <c r="C1449" s="2" t="str">
        <f>"조정자"</f>
        <v>조정자</v>
      </c>
      <c r="D1449" s="2" t="str">
        <f>"F"</f>
        <v>F</v>
      </c>
      <c r="E1449" s="2" t="str">
        <f>"19721025"</f>
        <v>19721025</v>
      </c>
      <c r="F1449" s="2" t="str">
        <f>"52"</f>
        <v>52</v>
      </c>
      <c r="G1449" s="2" t="str">
        <f t="shared" si="304"/>
        <v>E78660</v>
      </c>
      <c r="H1449" s="2" t="str">
        <f t="shared" si="305"/>
        <v>가톨릭대학교 서울성모병원</v>
      </c>
      <c r="I1449" s="2" t="str">
        <f>"특수"</f>
        <v>특수</v>
      </c>
    </row>
    <row r="1450" spans="1:9" x14ac:dyDescent="0.3">
      <c r="A1450" s="2" t="str">
        <f t="shared" ref="A1450:A1457" si="313">"20250916"</f>
        <v>20250916</v>
      </c>
      <c r="B1450" s="2" t="str">
        <f>"10324540"</f>
        <v>10324540</v>
      </c>
      <c r="C1450" s="2" t="str">
        <f>"유가영"</f>
        <v>유가영</v>
      </c>
      <c r="D1450" s="2" t="str">
        <f>"F"</f>
        <v>F</v>
      </c>
      <c r="E1450" s="2" t="str">
        <f>"19830722"</f>
        <v>19830722</v>
      </c>
      <c r="F1450" s="2" t="str">
        <f>"42"</f>
        <v>42</v>
      </c>
      <c r="G1450" s="2" t="str">
        <f t="shared" si="304"/>
        <v>E78660</v>
      </c>
      <c r="H1450" s="2" t="str">
        <f t="shared" si="305"/>
        <v>가톨릭대학교 서울성모병원</v>
      </c>
      <c r="I1450" s="2" t="str">
        <f>"특수"</f>
        <v>특수</v>
      </c>
    </row>
    <row r="1451" spans="1:9" x14ac:dyDescent="0.3">
      <c r="A1451" s="2" t="str">
        <f t="shared" si="313"/>
        <v>20250916</v>
      </c>
      <c r="B1451" s="2" t="str">
        <f>"13637851"</f>
        <v>13637851</v>
      </c>
      <c r="C1451" s="2" t="str">
        <f>"박지숙"</f>
        <v>박지숙</v>
      </c>
      <c r="D1451" s="2" t="str">
        <f>"F"</f>
        <v>F</v>
      </c>
      <c r="E1451" s="2" t="str">
        <f>"19790809"</f>
        <v>19790809</v>
      </c>
      <c r="F1451" s="2" t="str">
        <f>"46"</f>
        <v>46</v>
      </c>
      <c r="G1451" s="2" t="str">
        <f t="shared" si="304"/>
        <v>E78660</v>
      </c>
      <c r="H1451" s="2" t="str">
        <f t="shared" si="305"/>
        <v>가톨릭대학교 서울성모병원</v>
      </c>
      <c r="I1451" s="2" t="str">
        <f>"특수"</f>
        <v>특수</v>
      </c>
    </row>
    <row r="1452" spans="1:9" x14ac:dyDescent="0.3">
      <c r="A1452" s="2" t="str">
        <f t="shared" si="313"/>
        <v>20250916</v>
      </c>
      <c r="B1452" s="2" t="str">
        <f>"17141532"</f>
        <v>17141532</v>
      </c>
      <c r="C1452" s="2" t="str">
        <f>"하성일"</f>
        <v>하성일</v>
      </c>
      <c r="D1452" s="2" t="str">
        <f>"M"</f>
        <v>M</v>
      </c>
      <c r="E1452" s="2" t="str">
        <f>"19760803"</f>
        <v>19760803</v>
      </c>
      <c r="F1452" s="2" t="str">
        <f>"49"</f>
        <v>49</v>
      </c>
      <c r="G1452" s="2" t="str">
        <f t="shared" si="304"/>
        <v>E78660</v>
      </c>
      <c r="H1452" s="2" t="str">
        <f t="shared" si="305"/>
        <v>가톨릭대학교 서울성모병원</v>
      </c>
      <c r="I1452" s="2" t="str">
        <f>"특수"</f>
        <v>특수</v>
      </c>
    </row>
    <row r="1453" spans="1:9" x14ac:dyDescent="0.3">
      <c r="A1453" s="2" t="str">
        <f t="shared" si="313"/>
        <v>20250916</v>
      </c>
      <c r="B1453" s="2" t="str">
        <f>"25252524"</f>
        <v>25252524</v>
      </c>
      <c r="C1453" s="2" t="str">
        <f>"조예실"</f>
        <v>조예실</v>
      </c>
      <c r="D1453" s="2" t="str">
        <f t="shared" ref="D1453:D1477" si="314">"F"</f>
        <v>F</v>
      </c>
      <c r="E1453" s="2" t="str">
        <f>"19890911"</f>
        <v>19890911</v>
      </c>
      <c r="F1453" s="2" t="str">
        <f>"36"</f>
        <v>36</v>
      </c>
      <c r="G1453" s="2" t="str">
        <f t="shared" si="304"/>
        <v>E78660</v>
      </c>
      <c r="H1453" s="2" t="str">
        <f t="shared" si="305"/>
        <v>가톨릭대학교 서울성모병원</v>
      </c>
      <c r="I1453" s="2" t="str">
        <f>"특수"</f>
        <v>특수</v>
      </c>
    </row>
    <row r="1454" spans="1:9" x14ac:dyDescent="0.3">
      <c r="A1454" s="2" t="str">
        <f t="shared" si="313"/>
        <v>20250916</v>
      </c>
      <c r="B1454" s="2" t="str">
        <f>"28554202"</f>
        <v>28554202</v>
      </c>
      <c r="C1454" s="2" t="str">
        <f>"이해인"</f>
        <v>이해인</v>
      </c>
      <c r="D1454" s="2" t="str">
        <f t="shared" si="314"/>
        <v>F</v>
      </c>
      <c r="E1454" s="2" t="str">
        <f>"19960203"</f>
        <v>19960203</v>
      </c>
      <c r="F1454" s="2" t="str">
        <f>"29"</f>
        <v>29</v>
      </c>
      <c r="G1454" s="2" t="str">
        <f t="shared" si="304"/>
        <v>E78660</v>
      </c>
      <c r="H1454" s="2" t="str">
        <f t="shared" si="305"/>
        <v>가톨릭대학교 서울성모병원</v>
      </c>
      <c r="I1454" s="2" t="str">
        <f>"배치전"</f>
        <v>배치전</v>
      </c>
    </row>
    <row r="1455" spans="1:9" x14ac:dyDescent="0.3">
      <c r="A1455" s="2" t="str">
        <f t="shared" si="313"/>
        <v>20250916</v>
      </c>
      <c r="B1455" s="2" t="str">
        <f>"34067862"</f>
        <v>34067862</v>
      </c>
      <c r="C1455" s="2" t="str">
        <f>"김승혜"</f>
        <v>김승혜</v>
      </c>
      <c r="D1455" s="2" t="str">
        <f t="shared" si="314"/>
        <v>F</v>
      </c>
      <c r="E1455" s="2" t="str">
        <f>"19960812"</f>
        <v>19960812</v>
      </c>
      <c r="F1455" s="2" t="str">
        <f>"29"</f>
        <v>29</v>
      </c>
      <c r="G1455" s="2" t="str">
        <f t="shared" si="304"/>
        <v>E78660</v>
      </c>
      <c r="H1455" s="2" t="str">
        <f t="shared" si="305"/>
        <v>가톨릭대학교 서울성모병원</v>
      </c>
      <c r="I1455" s="2" t="str">
        <f>"배치전"</f>
        <v>배치전</v>
      </c>
    </row>
    <row r="1456" spans="1:9" x14ac:dyDescent="0.3">
      <c r="A1456" s="2" t="str">
        <f t="shared" si="313"/>
        <v>20250916</v>
      </c>
      <c r="B1456" s="2" t="str">
        <f>"35715014"</f>
        <v>35715014</v>
      </c>
      <c r="C1456" s="2" t="str">
        <f>"박희주"</f>
        <v>박희주</v>
      </c>
      <c r="D1456" s="2" t="str">
        <f t="shared" si="314"/>
        <v>F</v>
      </c>
      <c r="E1456" s="2" t="str">
        <f>"19980105"</f>
        <v>19980105</v>
      </c>
      <c r="F1456" s="2" t="str">
        <f>"27"</f>
        <v>27</v>
      </c>
      <c r="G1456" s="2" t="str">
        <f t="shared" si="304"/>
        <v>E78660</v>
      </c>
      <c r="H1456" s="2" t="str">
        <f t="shared" si="305"/>
        <v>가톨릭대학교 서울성모병원</v>
      </c>
      <c r="I1456" s="2" t="str">
        <f t="shared" ref="I1456:I1462" si="315">"특수"</f>
        <v>특수</v>
      </c>
    </row>
    <row r="1457" spans="1:9" x14ac:dyDescent="0.3">
      <c r="A1457" s="2" t="str">
        <f t="shared" si="313"/>
        <v>20250916</v>
      </c>
      <c r="B1457" s="2" t="str">
        <f>"8072060"</f>
        <v>8072060</v>
      </c>
      <c r="C1457" s="2" t="str">
        <f>"송현경"</f>
        <v>송현경</v>
      </c>
      <c r="D1457" s="2" t="str">
        <f t="shared" si="314"/>
        <v>F</v>
      </c>
      <c r="E1457" s="2" t="str">
        <f>"19710920"</f>
        <v>19710920</v>
      </c>
      <c r="F1457" s="2" t="str">
        <f>"54"</f>
        <v>54</v>
      </c>
      <c r="G1457" s="2" t="str">
        <f t="shared" si="304"/>
        <v>E78660</v>
      </c>
      <c r="H1457" s="2" t="str">
        <f t="shared" si="305"/>
        <v>가톨릭대학교 서울성모병원</v>
      </c>
      <c r="I1457" s="2" t="str">
        <f t="shared" si="315"/>
        <v>특수</v>
      </c>
    </row>
    <row r="1458" spans="1:9" x14ac:dyDescent="0.3">
      <c r="A1458" s="2" t="str">
        <f t="shared" ref="A1458:A1472" si="316">"20250917"</f>
        <v>20250917</v>
      </c>
      <c r="B1458" s="2" t="str">
        <f>"17913362"</f>
        <v>17913362</v>
      </c>
      <c r="C1458" s="2" t="str">
        <f>"강미희"</f>
        <v>강미희</v>
      </c>
      <c r="D1458" s="2" t="str">
        <f t="shared" si="314"/>
        <v>F</v>
      </c>
      <c r="E1458" s="2" t="str">
        <f>"19841202"</f>
        <v>19841202</v>
      </c>
      <c r="F1458" s="2" t="str">
        <f>"40"</f>
        <v>40</v>
      </c>
      <c r="G1458" s="2" t="str">
        <f t="shared" si="304"/>
        <v>E78660</v>
      </c>
      <c r="H1458" s="2" t="str">
        <f t="shared" si="305"/>
        <v>가톨릭대학교 서울성모병원</v>
      </c>
      <c r="I1458" s="2" t="str">
        <f t="shared" si="315"/>
        <v>특수</v>
      </c>
    </row>
    <row r="1459" spans="1:9" x14ac:dyDescent="0.3">
      <c r="A1459" s="2" t="str">
        <f t="shared" si="316"/>
        <v>20250917</v>
      </c>
      <c r="B1459" s="2" t="str">
        <f>"19200150"</f>
        <v>19200150</v>
      </c>
      <c r="C1459" s="2" t="str">
        <f>"백선영"</f>
        <v>백선영</v>
      </c>
      <c r="D1459" s="2" t="str">
        <f t="shared" si="314"/>
        <v>F</v>
      </c>
      <c r="E1459" s="2" t="str">
        <f>"19861003"</f>
        <v>19861003</v>
      </c>
      <c r="F1459" s="2" t="str">
        <f>"38"</f>
        <v>38</v>
      </c>
      <c r="G1459" s="2" t="str">
        <f t="shared" si="304"/>
        <v>E78660</v>
      </c>
      <c r="H1459" s="2" t="str">
        <f t="shared" si="305"/>
        <v>가톨릭대학교 서울성모병원</v>
      </c>
      <c r="I1459" s="2" t="str">
        <f t="shared" si="315"/>
        <v>특수</v>
      </c>
    </row>
    <row r="1460" spans="1:9" x14ac:dyDescent="0.3">
      <c r="A1460" s="2" t="str">
        <f t="shared" si="316"/>
        <v>20250917</v>
      </c>
      <c r="B1460" s="2" t="str">
        <f>"19817605"</f>
        <v>19817605</v>
      </c>
      <c r="C1460" s="2" t="str">
        <f>"이수경"</f>
        <v>이수경</v>
      </c>
      <c r="D1460" s="2" t="str">
        <f t="shared" si="314"/>
        <v>F</v>
      </c>
      <c r="E1460" s="2" t="str">
        <f>"19841109"</f>
        <v>19841109</v>
      </c>
      <c r="F1460" s="2" t="str">
        <f>"40"</f>
        <v>40</v>
      </c>
      <c r="G1460" s="2" t="str">
        <f t="shared" si="304"/>
        <v>E78660</v>
      </c>
      <c r="H1460" s="2" t="str">
        <f t="shared" si="305"/>
        <v>가톨릭대학교 서울성모병원</v>
      </c>
      <c r="I1460" s="2" t="str">
        <f t="shared" si="315"/>
        <v>특수</v>
      </c>
    </row>
    <row r="1461" spans="1:9" x14ac:dyDescent="0.3">
      <c r="A1461" s="2" t="str">
        <f t="shared" si="316"/>
        <v>20250917</v>
      </c>
      <c r="B1461" s="2" t="str">
        <f>"20186256"</f>
        <v>20186256</v>
      </c>
      <c r="C1461" s="2" t="str">
        <f>"황정실"</f>
        <v>황정실</v>
      </c>
      <c r="D1461" s="2" t="str">
        <f t="shared" si="314"/>
        <v>F</v>
      </c>
      <c r="E1461" s="2" t="str">
        <f>"19740324"</f>
        <v>19740324</v>
      </c>
      <c r="F1461" s="2" t="str">
        <f>"51"</f>
        <v>51</v>
      </c>
      <c r="G1461" s="2" t="str">
        <f t="shared" si="304"/>
        <v>E78660</v>
      </c>
      <c r="H1461" s="2" t="str">
        <f t="shared" si="305"/>
        <v>가톨릭대학교 서울성모병원</v>
      </c>
      <c r="I1461" s="2" t="str">
        <f t="shared" si="315"/>
        <v>특수</v>
      </c>
    </row>
    <row r="1462" spans="1:9" x14ac:dyDescent="0.3">
      <c r="A1462" s="2" t="str">
        <f t="shared" si="316"/>
        <v>20250917</v>
      </c>
      <c r="B1462" s="2" t="str">
        <f>"20534456"</f>
        <v>20534456</v>
      </c>
      <c r="C1462" s="2" t="str">
        <f>"김정희"</f>
        <v>김정희</v>
      </c>
      <c r="D1462" s="2" t="str">
        <f t="shared" si="314"/>
        <v>F</v>
      </c>
      <c r="E1462" s="2" t="str">
        <f>"19820424"</f>
        <v>19820424</v>
      </c>
      <c r="F1462" s="2" t="str">
        <f>"43"</f>
        <v>43</v>
      </c>
      <c r="G1462" s="2" t="str">
        <f t="shared" si="304"/>
        <v>E78660</v>
      </c>
      <c r="H1462" s="2" t="str">
        <f t="shared" si="305"/>
        <v>가톨릭대학교 서울성모병원</v>
      </c>
      <c r="I1462" s="2" t="str">
        <f t="shared" si="315"/>
        <v>특수</v>
      </c>
    </row>
    <row r="1463" spans="1:9" x14ac:dyDescent="0.3">
      <c r="A1463" s="2" t="str">
        <f t="shared" si="316"/>
        <v>20250917</v>
      </c>
      <c r="B1463" s="2" t="str">
        <f>"21029714"</f>
        <v>21029714</v>
      </c>
      <c r="C1463" s="2" t="str">
        <f>"문채원"</f>
        <v>문채원</v>
      </c>
      <c r="D1463" s="2" t="str">
        <f t="shared" si="314"/>
        <v>F</v>
      </c>
      <c r="E1463" s="2" t="str">
        <f>"19820909"</f>
        <v>19820909</v>
      </c>
      <c r="F1463" s="2" t="str">
        <f>"43"</f>
        <v>43</v>
      </c>
      <c r="G1463" s="2" t="str">
        <f t="shared" si="304"/>
        <v>E78660</v>
      </c>
      <c r="H1463" s="2" t="str">
        <f t="shared" si="305"/>
        <v>가톨릭대학교 서울성모병원</v>
      </c>
      <c r="I1463" s="2" t="str">
        <f>"배치후"</f>
        <v>배치후</v>
      </c>
    </row>
    <row r="1464" spans="1:9" x14ac:dyDescent="0.3">
      <c r="A1464" s="2" t="str">
        <f t="shared" si="316"/>
        <v>20250917</v>
      </c>
      <c r="B1464" s="2" t="str">
        <f>"26068972"</f>
        <v>26068972</v>
      </c>
      <c r="C1464" s="2" t="str">
        <f>"최명신"</f>
        <v>최명신</v>
      </c>
      <c r="D1464" s="2" t="str">
        <f t="shared" si="314"/>
        <v>F</v>
      </c>
      <c r="E1464" s="2" t="str">
        <f>"19890428"</f>
        <v>19890428</v>
      </c>
      <c r="F1464" s="2" t="str">
        <f>"36"</f>
        <v>36</v>
      </c>
      <c r="G1464" s="2" t="str">
        <f t="shared" si="304"/>
        <v>E78660</v>
      </c>
      <c r="H1464" s="2" t="str">
        <f t="shared" si="305"/>
        <v>가톨릭대학교 서울성모병원</v>
      </c>
      <c r="I1464" s="2" t="str">
        <f>"특수"</f>
        <v>특수</v>
      </c>
    </row>
    <row r="1465" spans="1:9" x14ac:dyDescent="0.3">
      <c r="A1465" s="2" t="str">
        <f t="shared" si="316"/>
        <v>20250917</v>
      </c>
      <c r="B1465" s="2" t="str">
        <f>"27515861"</f>
        <v>27515861</v>
      </c>
      <c r="C1465" s="2" t="str">
        <f>"김미경"</f>
        <v>김미경</v>
      </c>
      <c r="D1465" s="2" t="str">
        <f t="shared" si="314"/>
        <v>F</v>
      </c>
      <c r="E1465" s="2" t="str">
        <f>"19890806"</f>
        <v>19890806</v>
      </c>
      <c r="F1465" s="2" t="str">
        <f>"36"</f>
        <v>36</v>
      </c>
      <c r="G1465" s="2" t="str">
        <f t="shared" si="304"/>
        <v>E78660</v>
      </c>
      <c r="H1465" s="2" t="str">
        <f t="shared" si="305"/>
        <v>가톨릭대학교 서울성모병원</v>
      </c>
      <c r="I1465" s="2" t="str">
        <f>"특수"</f>
        <v>특수</v>
      </c>
    </row>
    <row r="1466" spans="1:9" x14ac:dyDescent="0.3">
      <c r="A1466" s="2" t="str">
        <f t="shared" si="316"/>
        <v>20250917</v>
      </c>
      <c r="B1466" s="2" t="str">
        <f>"36766662"</f>
        <v>36766662</v>
      </c>
      <c r="C1466" s="2" t="str">
        <f>"신정현"</f>
        <v>신정현</v>
      </c>
      <c r="D1466" s="2" t="str">
        <f t="shared" si="314"/>
        <v>F</v>
      </c>
      <c r="E1466" s="2" t="str">
        <f>"19950520"</f>
        <v>19950520</v>
      </c>
      <c r="F1466" s="2" t="str">
        <f>"30"</f>
        <v>30</v>
      </c>
      <c r="G1466" s="2" t="str">
        <f t="shared" si="304"/>
        <v>E78660</v>
      </c>
      <c r="H1466" s="2" t="str">
        <f t="shared" si="305"/>
        <v>가톨릭대학교 서울성모병원</v>
      </c>
      <c r="I1466" s="2" t="str">
        <f>"배치전"</f>
        <v>배치전</v>
      </c>
    </row>
    <row r="1467" spans="1:9" x14ac:dyDescent="0.3">
      <c r="A1467" s="2" t="str">
        <f t="shared" si="316"/>
        <v>20250917</v>
      </c>
      <c r="B1467" s="2" t="str">
        <f>"37068832"</f>
        <v>37068832</v>
      </c>
      <c r="C1467" s="2" t="str">
        <f>"김미애"</f>
        <v>김미애</v>
      </c>
      <c r="D1467" s="2" t="str">
        <f t="shared" si="314"/>
        <v>F</v>
      </c>
      <c r="E1467" s="2" t="str">
        <f>"19960821"</f>
        <v>19960821</v>
      </c>
      <c r="F1467" s="2" t="str">
        <f>"29"</f>
        <v>29</v>
      </c>
      <c r="G1467" s="2" t="str">
        <f t="shared" si="304"/>
        <v>E78660</v>
      </c>
      <c r="H1467" s="2" t="str">
        <f t="shared" si="305"/>
        <v>가톨릭대학교 서울성모병원</v>
      </c>
      <c r="I1467" s="2" t="str">
        <f>"특수"</f>
        <v>특수</v>
      </c>
    </row>
    <row r="1468" spans="1:9" x14ac:dyDescent="0.3">
      <c r="A1468" s="2" t="str">
        <f t="shared" si="316"/>
        <v>20250917</v>
      </c>
      <c r="B1468" s="2" t="str">
        <f>"37365663"</f>
        <v>37365663</v>
      </c>
      <c r="C1468" s="2" t="str">
        <f>"양문영"</f>
        <v>양문영</v>
      </c>
      <c r="D1468" s="2" t="str">
        <f t="shared" si="314"/>
        <v>F</v>
      </c>
      <c r="E1468" s="2" t="str">
        <f>"19910524"</f>
        <v>19910524</v>
      </c>
      <c r="F1468" s="2" t="str">
        <f>"34"</f>
        <v>34</v>
      </c>
      <c r="G1468" s="2" t="str">
        <f t="shared" si="304"/>
        <v>E78660</v>
      </c>
      <c r="H1468" s="2" t="str">
        <f t="shared" si="305"/>
        <v>가톨릭대학교 서울성모병원</v>
      </c>
      <c r="I1468" s="2" t="str">
        <f>"특수"</f>
        <v>특수</v>
      </c>
    </row>
    <row r="1469" spans="1:9" x14ac:dyDescent="0.3">
      <c r="A1469" s="2" t="str">
        <f t="shared" si="316"/>
        <v>20250917</v>
      </c>
      <c r="B1469" s="2" t="str">
        <f>"38351596"</f>
        <v>38351596</v>
      </c>
      <c r="C1469" s="2" t="str">
        <f>"채정원"</f>
        <v>채정원</v>
      </c>
      <c r="D1469" s="2" t="str">
        <f t="shared" si="314"/>
        <v>F</v>
      </c>
      <c r="E1469" s="2" t="str">
        <f>"19930218"</f>
        <v>19930218</v>
      </c>
      <c r="F1469" s="2" t="str">
        <f>"32"</f>
        <v>32</v>
      </c>
      <c r="G1469" s="2" t="str">
        <f t="shared" si="304"/>
        <v>E78660</v>
      </c>
      <c r="H1469" s="2" t="str">
        <f t="shared" si="305"/>
        <v>가톨릭대학교 서울성모병원</v>
      </c>
      <c r="I1469" s="2" t="str">
        <f>"배치전"</f>
        <v>배치전</v>
      </c>
    </row>
    <row r="1470" spans="1:9" x14ac:dyDescent="0.3">
      <c r="A1470" s="2" t="str">
        <f t="shared" si="316"/>
        <v>20250917</v>
      </c>
      <c r="B1470" s="2" t="str">
        <f>"38662154"</f>
        <v>38662154</v>
      </c>
      <c r="C1470" s="2" t="str">
        <f>"김하은"</f>
        <v>김하은</v>
      </c>
      <c r="D1470" s="2" t="str">
        <f t="shared" si="314"/>
        <v>F</v>
      </c>
      <c r="E1470" s="2" t="str">
        <f>"19991123"</f>
        <v>19991123</v>
      </c>
      <c r="F1470" s="2" t="str">
        <f>"25"</f>
        <v>25</v>
      </c>
      <c r="G1470" s="2" t="str">
        <f t="shared" si="304"/>
        <v>E78660</v>
      </c>
      <c r="H1470" s="2" t="str">
        <f t="shared" si="305"/>
        <v>가톨릭대학교 서울성모병원</v>
      </c>
      <c r="I1470" s="2" t="str">
        <f>"특수"</f>
        <v>특수</v>
      </c>
    </row>
    <row r="1471" spans="1:9" x14ac:dyDescent="0.3">
      <c r="A1471" s="2" t="str">
        <f t="shared" si="316"/>
        <v>20250917</v>
      </c>
      <c r="B1471" s="2" t="str">
        <f>"40722474"</f>
        <v>40722474</v>
      </c>
      <c r="C1471" s="2" t="str">
        <f>"박준희"</f>
        <v>박준희</v>
      </c>
      <c r="D1471" s="2" t="str">
        <f t="shared" si="314"/>
        <v>F</v>
      </c>
      <c r="E1471" s="2" t="str">
        <f>"19960824"</f>
        <v>19960824</v>
      </c>
      <c r="F1471" s="2" t="str">
        <f>"29"</f>
        <v>29</v>
      </c>
      <c r="G1471" s="2" t="str">
        <f t="shared" si="304"/>
        <v>E78660</v>
      </c>
      <c r="H1471" s="2" t="str">
        <f t="shared" si="305"/>
        <v>가톨릭대학교 서울성모병원</v>
      </c>
      <c r="I1471" s="2" t="str">
        <f>"배치후"</f>
        <v>배치후</v>
      </c>
    </row>
    <row r="1472" spans="1:9" x14ac:dyDescent="0.3">
      <c r="A1472" s="2" t="str">
        <f t="shared" si="316"/>
        <v>20250917</v>
      </c>
      <c r="B1472" s="2" t="str">
        <f>"40722593"</f>
        <v>40722593</v>
      </c>
      <c r="C1472" s="2" t="str">
        <f>"박효경"</f>
        <v>박효경</v>
      </c>
      <c r="D1472" s="2" t="str">
        <f t="shared" si="314"/>
        <v>F</v>
      </c>
      <c r="E1472" s="2" t="str">
        <f>"19961029"</f>
        <v>19961029</v>
      </c>
      <c r="F1472" s="2" t="str">
        <f>"28"</f>
        <v>28</v>
      </c>
      <c r="G1472" s="2" t="str">
        <f t="shared" si="304"/>
        <v>E78660</v>
      </c>
      <c r="H1472" s="2" t="str">
        <f t="shared" si="305"/>
        <v>가톨릭대학교 서울성모병원</v>
      </c>
      <c r="I1472" s="2" t="str">
        <f>"배치후"</f>
        <v>배치후</v>
      </c>
    </row>
    <row r="1473" spans="1:9" x14ac:dyDescent="0.3">
      <c r="A1473" s="2" t="str">
        <f t="shared" ref="A1473:A1484" si="317">"20250918"</f>
        <v>20250918</v>
      </c>
      <c r="B1473" s="2" t="str">
        <f>"14484686"</f>
        <v>14484686</v>
      </c>
      <c r="C1473" s="2" t="str">
        <f>"최선영"</f>
        <v>최선영</v>
      </c>
      <c r="D1473" s="2" t="str">
        <f t="shared" si="314"/>
        <v>F</v>
      </c>
      <c r="E1473" s="2" t="str">
        <f>"19720628"</f>
        <v>19720628</v>
      </c>
      <c r="F1473" s="2" t="str">
        <f>"53"</f>
        <v>53</v>
      </c>
      <c r="G1473" s="2" t="str">
        <f t="shared" si="304"/>
        <v>E78660</v>
      </c>
      <c r="H1473" s="2" t="str">
        <f t="shared" si="305"/>
        <v>가톨릭대학교 서울성모병원</v>
      </c>
      <c r="I1473" s="2" t="str">
        <f t="shared" ref="I1473:I1480" si="318">"특수"</f>
        <v>특수</v>
      </c>
    </row>
    <row r="1474" spans="1:9" x14ac:dyDescent="0.3">
      <c r="A1474" s="2" t="str">
        <f t="shared" si="317"/>
        <v>20250918</v>
      </c>
      <c r="B1474" s="2" t="str">
        <f>"16099185"</f>
        <v>16099185</v>
      </c>
      <c r="C1474" s="2" t="str">
        <f>"이상미"</f>
        <v>이상미</v>
      </c>
      <c r="D1474" s="2" t="str">
        <f t="shared" si="314"/>
        <v>F</v>
      </c>
      <c r="E1474" s="2" t="str">
        <f>"19800226"</f>
        <v>19800226</v>
      </c>
      <c r="F1474" s="2" t="str">
        <f>"45"</f>
        <v>45</v>
      </c>
      <c r="G1474" s="2" t="str">
        <f t="shared" si="304"/>
        <v>E78660</v>
      </c>
      <c r="H1474" s="2" t="str">
        <f t="shared" si="305"/>
        <v>가톨릭대학교 서울성모병원</v>
      </c>
      <c r="I1474" s="2" t="str">
        <f t="shared" si="318"/>
        <v>특수</v>
      </c>
    </row>
    <row r="1475" spans="1:9" x14ac:dyDescent="0.3">
      <c r="A1475" s="2" t="str">
        <f t="shared" si="317"/>
        <v>20250918</v>
      </c>
      <c r="B1475" s="2" t="str">
        <f>"18372543"</f>
        <v>18372543</v>
      </c>
      <c r="C1475" s="2" t="str">
        <f>"정지윤"</f>
        <v>정지윤</v>
      </c>
      <c r="D1475" s="2" t="str">
        <f t="shared" si="314"/>
        <v>F</v>
      </c>
      <c r="E1475" s="2" t="str">
        <f>"19870810"</f>
        <v>19870810</v>
      </c>
      <c r="F1475" s="2" t="str">
        <f>"38"</f>
        <v>38</v>
      </c>
      <c r="G1475" s="2" t="str">
        <f t="shared" si="304"/>
        <v>E78660</v>
      </c>
      <c r="H1475" s="2" t="str">
        <f t="shared" si="305"/>
        <v>가톨릭대학교 서울성모병원</v>
      </c>
      <c r="I1475" s="2" t="str">
        <f t="shared" si="318"/>
        <v>특수</v>
      </c>
    </row>
    <row r="1476" spans="1:9" x14ac:dyDescent="0.3">
      <c r="A1476" s="2" t="str">
        <f t="shared" si="317"/>
        <v>20250918</v>
      </c>
      <c r="B1476" s="2" t="str">
        <f>"21429122"</f>
        <v>21429122</v>
      </c>
      <c r="C1476" s="2" t="str">
        <f>"이유리"</f>
        <v>이유리</v>
      </c>
      <c r="D1476" s="2" t="str">
        <f t="shared" si="314"/>
        <v>F</v>
      </c>
      <c r="E1476" s="2" t="str">
        <f>"19850202"</f>
        <v>19850202</v>
      </c>
      <c r="F1476" s="2" t="str">
        <f>"40"</f>
        <v>40</v>
      </c>
      <c r="G1476" s="2" t="str">
        <f t="shared" si="304"/>
        <v>E78660</v>
      </c>
      <c r="H1476" s="2" t="str">
        <f t="shared" si="305"/>
        <v>가톨릭대학교 서울성모병원</v>
      </c>
      <c r="I1476" s="2" t="str">
        <f t="shared" si="318"/>
        <v>특수</v>
      </c>
    </row>
    <row r="1477" spans="1:9" x14ac:dyDescent="0.3">
      <c r="A1477" s="2" t="str">
        <f t="shared" si="317"/>
        <v>20250918</v>
      </c>
      <c r="B1477" s="2" t="str">
        <f>"32189361"</f>
        <v>32189361</v>
      </c>
      <c r="C1477" s="2" t="str">
        <f>"이은내"</f>
        <v>이은내</v>
      </c>
      <c r="D1477" s="2" t="str">
        <f t="shared" si="314"/>
        <v>F</v>
      </c>
      <c r="E1477" s="2" t="str">
        <f>"19940122"</f>
        <v>19940122</v>
      </c>
      <c r="F1477" s="2" t="str">
        <f>"31"</f>
        <v>31</v>
      </c>
      <c r="G1477" s="2" t="str">
        <f t="shared" ref="G1477:G1540" si="319">"E78660"</f>
        <v>E78660</v>
      </c>
      <c r="H1477" s="2" t="str">
        <f t="shared" ref="H1477:H1540" si="320">"가톨릭대학교 서울성모병원"</f>
        <v>가톨릭대학교 서울성모병원</v>
      </c>
      <c r="I1477" s="2" t="str">
        <f t="shared" si="318"/>
        <v>특수</v>
      </c>
    </row>
    <row r="1478" spans="1:9" x14ac:dyDescent="0.3">
      <c r="A1478" s="2" t="str">
        <f t="shared" si="317"/>
        <v>20250918</v>
      </c>
      <c r="B1478" s="2" t="str">
        <f>"32305863"</f>
        <v>32305863</v>
      </c>
      <c r="C1478" s="2" t="str">
        <f>"박희찬"</f>
        <v>박희찬</v>
      </c>
      <c r="D1478" s="2" t="str">
        <f>"M"</f>
        <v>M</v>
      </c>
      <c r="E1478" s="2" t="str">
        <f>"19921211"</f>
        <v>19921211</v>
      </c>
      <c r="F1478" s="2" t="str">
        <f>"32"</f>
        <v>32</v>
      </c>
      <c r="G1478" s="2" t="str">
        <f t="shared" si="319"/>
        <v>E78660</v>
      </c>
      <c r="H1478" s="2" t="str">
        <f t="shared" si="320"/>
        <v>가톨릭대학교 서울성모병원</v>
      </c>
      <c r="I1478" s="2" t="str">
        <f t="shared" si="318"/>
        <v>특수</v>
      </c>
    </row>
    <row r="1479" spans="1:9" x14ac:dyDescent="0.3">
      <c r="A1479" s="2" t="str">
        <f t="shared" si="317"/>
        <v>20250918</v>
      </c>
      <c r="B1479" s="2" t="str">
        <f>"32627900"</f>
        <v>32627900</v>
      </c>
      <c r="C1479" s="2" t="str">
        <f>"윤승의"</f>
        <v>윤승의</v>
      </c>
      <c r="D1479" s="2" t="str">
        <f t="shared" ref="D1479:D1484" si="321">"F"</f>
        <v>F</v>
      </c>
      <c r="E1479" s="2" t="str">
        <f>"19950625"</f>
        <v>19950625</v>
      </c>
      <c r="F1479" s="2" t="str">
        <f>"30"</f>
        <v>30</v>
      </c>
      <c r="G1479" s="2" t="str">
        <f t="shared" si="319"/>
        <v>E78660</v>
      </c>
      <c r="H1479" s="2" t="str">
        <f t="shared" si="320"/>
        <v>가톨릭대학교 서울성모병원</v>
      </c>
      <c r="I1479" s="2" t="str">
        <f t="shared" si="318"/>
        <v>특수</v>
      </c>
    </row>
    <row r="1480" spans="1:9" x14ac:dyDescent="0.3">
      <c r="A1480" s="2" t="str">
        <f t="shared" si="317"/>
        <v>20250918</v>
      </c>
      <c r="B1480" s="2" t="str">
        <f>"33099513"</f>
        <v>33099513</v>
      </c>
      <c r="C1480" s="2" t="str">
        <f>"송다혜"</f>
        <v>송다혜</v>
      </c>
      <c r="D1480" s="2" t="str">
        <f t="shared" si="321"/>
        <v>F</v>
      </c>
      <c r="E1480" s="2" t="str">
        <f>"19951115"</f>
        <v>19951115</v>
      </c>
      <c r="F1480" s="2" t="str">
        <f>"29"</f>
        <v>29</v>
      </c>
      <c r="G1480" s="2" t="str">
        <f t="shared" si="319"/>
        <v>E78660</v>
      </c>
      <c r="H1480" s="2" t="str">
        <f t="shared" si="320"/>
        <v>가톨릭대학교 서울성모병원</v>
      </c>
      <c r="I1480" s="2" t="str">
        <f t="shared" si="318"/>
        <v>특수</v>
      </c>
    </row>
    <row r="1481" spans="1:9" x14ac:dyDescent="0.3">
      <c r="A1481" s="2" t="str">
        <f t="shared" si="317"/>
        <v>20250918</v>
      </c>
      <c r="B1481" s="2" t="str">
        <f>"37056363"</f>
        <v>37056363</v>
      </c>
      <c r="C1481" s="2" t="str">
        <f>"권미주"</f>
        <v>권미주</v>
      </c>
      <c r="D1481" s="2" t="str">
        <f t="shared" si="321"/>
        <v>F</v>
      </c>
      <c r="E1481" s="2" t="str">
        <f>"19851104"</f>
        <v>19851104</v>
      </c>
      <c r="F1481" s="2" t="str">
        <f>"39"</f>
        <v>39</v>
      </c>
      <c r="G1481" s="2" t="str">
        <f t="shared" si="319"/>
        <v>E78660</v>
      </c>
      <c r="H1481" s="2" t="str">
        <f t="shared" si="320"/>
        <v>가톨릭대학교 서울성모병원</v>
      </c>
      <c r="I1481" s="2" t="str">
        <f>"배치전"</f>
        <v>배치전</v>
      </c>
    </row>
    <row r="1482" spans="1:9" x14ac:dyDescent="0.3">
      <c r="A1482" s="2" t="str">
        <f t="shared" si="317"/>
        <v>20250918</v>
      </c>
      <c r="B1482" s="2" t="str">
        <f>"37588556"</f>
        <v>37588556</v>
      </c>
      <c r="C1482" s="2" t="str">
        <f>"이지현"</f>
        <v>이지현</v>
      </c>
      <c r="D1482" s="2" t="str">
        <f t="shared" si="321"/>
        <v>F</v>
      </c>
      <c r="E1482" s="2" t="str">
        <f>"19950524"</f>
        <v>19950524</v>
      </c>
      <c r="F1482" s="2" t="str">
        <f>"30"</f>
        <v>30</v>
      </c>
      <c r="G1482" s="2" t="str">
        <f t="shared" si="319"/>
        <v>E78660</v>
      </c>
      <c r="H1482" s="2" t="str">
        <f t="shared" si="320"/>
        <v>가톨릭대학교 서울성모병원</v>
      </c>
      <c r="I1482" s="2" t="str">
        <f t="shared" ref="I1482:I1494" si="322">"특수"</f>
        <v>특수</v>
      </c>
    </row>
    <row r="1483" spans="1:9" x14ac:dyDescent="0.3">
      <c r="A1483" s="2" t="str">
        <f t="shared" si="317"/>
        <v>20250918</v>
      </c>
      <c r="B1483" s="2" t="str">
        <f>"37904422"</f>
        <v>37904422</v>
      </c>
      <c r="C1483" s="2" t="str">
        <f>"진정화"</f>
        <v>진정화</v>
      </c>
      <c r="D1483" s="2" t="str">
        <f t="shared" si="321"/>
        <v>F</v>
      </c>
      <c r="E1483" s="2" t="str">
        <f>"19990316"</f>
        <v>19990316</v>
      </c>
      <c r="F1483" s="2" t="str">
        <f>"26"</f>
        <v>26</v>
      </c>
      <c r="G1483" s="2" t="str">
        <f t="shared" si="319"/>
        <v>E78660</v>
      </c>
      <c r="H1483" s="2" t="str">
        <f t="shared" si="320"/>
        <v>가톨릭대학교 서울성모병원</v>
      </c>
      <c r="I1483" s="2" t="str">
        <f t="shared" si="322"/>
        <v>특수</v>
      </c>
    </row>
    <row r="1484" spans="1:9" x14ac:dyDescent="0.3">
      <c r="A1484" s="2" t="str">
        <f t="shared" si="317"/>
        <v>20250918</v>
      </c>
      <c r="B1484" s="2" t="str">
        <f>"39137966"</f>
        <v>39137966</v>
      </c>
      <c r="C1484" s="2" t="str">
        <f>"박수진"</f>
        <v>박수진</v>
      </c>
      <c r="D1484" s="2" t="str">
        <f t="shared" si="321"/>
        <v>F</v>
      </c>
      <c r="E1484" s="2" t="str">
        <f>"19991217"</f>
        <v>19991217</v>
      </c>
      <c r="F1484" s="2" t="str">
        <f>"25"</f>
        <v>25</v>
      </c>
      <c r="G1484" s="2" t="str">
        <f t="shared" si="319"/>
        <v>E78660</v>
      </c>
      <c r="H1484" s="2" t="str">
        <f t="shared" si="320"/>
        <v>가톨릭대학교 서울성모병원</v>
      </c>
      <c r="I1484" s="2" t="str">
        <f t="shared" si="322"/>
        <v>특수</v>
      </c>
    </row>
    <row r="1485" spans="1:9" x14ac:dyDescent="0.3">
      <c r="A1485" s="2" t="str">
        <f t="shared" ref="A1485:A1499" si="323">"20250922"</f>
        <v>20250922</v>
      </c>
      <c r="B1485" s="2" t="str">
        <f>"21016334"</f>
        <v>21016334</v>
      </c>
      <c r="C1485" s="2" t="str">
        <f>"김명종"</f>
        <v>김명종</v>
      </c>
      <c r="D1485" s="2" t="str">
        <f>"M"</f>
        <v>M</v>
      </c>
      <c r="E1485" s="2" t="str">
        <f>"19720911"</f>
        <v>19720911</v>
      </c>
      <c r="F1485" s="2" t="str">
        <f>"53"</f>
        <v>53</v>
      </c>
      <c r="G1485" s="2" t="str">
        <f t="shared" si="319"/>
        <v>E78660</v>
      </c>
      <c r="H1485" s="2" t="str">
        <f t="shared" si="320"/>
        <v>가톨릭대학교 서울성모병원</v>
      </c>
      <c r="I1485" s="2" t="str">
        <f t="shared" si="322"/>
        <v>특수</v>
      </c>
    </row>
    <row r="1486" spans="1:9" x14ac:dyDescent="0.3">
      <c r="A1486" s="2" t="str">
        <f t="shared" si="323"/>
        <v>20250922</v>
      </c>
      <c r="B1486" s="2" t="str">
        <f>"21179160"</f>
        <v>21179160</v>
      </c>
      <c r="C1486" s="2" t="str">
        <f>"이후식"</f>
        <v>이후식</v>
      </c>
      <c r="D1486" s="2" t="str">
        <f>"M"</f>
        <v>M</v>
      </c>
      <c r="E1486" s="2" t="str">
        <f>"19850920"</f>
        <v>19850920</v>
      </c>
      <c r="F1486" s="2" t="str">
        <f>"40"</f>
        <v>40</v>
      </c>
      <c r="G1486" s="2" t="str">
        <f t="shared" si="319"/>
        <v>E78660</v>
      </c>
      <c r="H1486" s="2" t="str">
        <f t="shared" si="320"/>
        <v>가톨릭대학교 서울성모병원</v>
      </c>
      <c r="I1486" s="2" t="str">
        <f t="shared" si="322"/>
        <v>특수</v>
      </c>
    </row>
    <row r="1487" spans="1:9" x14ac:dyDescent="0.3">
      <c r="A1487" s="2" t="str">
        <f t="shared" si="323"/>
        <v>20250922</v>
      </c>
      <c r="B1487" s="2" t="str">
        <f>"22321482"</f>
        <v>22321482</v>
      </c>
      <c r="C1487" s="2" t="str">
        <f>"한송이"</f>
        <v>한송이</v>
      </c>
      <c r="D1487" s="2" t="str">
        <f>"F"</f>
        <v>F</v>
      </c>
      <c r="E1487" s="2" t="str">
        <f>"19870206"</f>
        <v>19870206</v>
      </c>
      <c r="F1487" s="2" t="str">
        <f>"38"</f>
        <v>38</v>
      </c>
      <c r="G1487" s="2" t="str">
        <f t="shared" si="319"/>
        <v>E78660</v>
      </c>
      <c r="H1487" s="2" t="str">
        <f t="shared" si="320"/>
        <v>가톨릭대학교 서울성모병원</v>
      </c>
      <c r="I1487" s="2" t="str">
        <f t="shared" si="322"/>
        <v>특수</v>
      </c>
    </row>
    <row r="1488" spans="1:9" x14ac:dyDescent="0.3">
      <c r="A1488" s="2" t="str">
        <f t="shared" si="323"/>
        <v>20250922</v>
      </c>
      <c r="B1488" s="2" t="str">
        <f>"23676042"</f>
        <v>23676042</v>
      </c>
      <c r="C1488" s="2" t="str">
        <f>"최영은"</f>
        <v>최영은</v>
      </c>
      <c r="D1488" s="2" t="str">
        <f>"F"</f>
        <v>F</v>
      </c>
      <c r="E1488" s="2" t="str">
        <f>"19920918"</f>
        <v>19920918</v>
      </c>
      <c r="F1488" s="2" t="str">
        <f>"33"</f>
        <v>33</v>
      </c>
      <c r="G1488" s="2" t="str">
        <f t="shared" si="319"/>
        <v>E78660</v>
      </c>
      <c r="H1488" s="2" t="str">
        <f t="shared" si="320"/>
        <v>가톨릭대학교 서울성모병원</v>
      </c>
      <c r="I1488" s="2" t="str">
        <f t="shared" si="322"/>
        <v>특수</v>
      </c>
    </row>
    <row r="1489" spans="1:9" x14ac:dyDescent="0.3">
      <c r="A1489" s="2" t="str">
        <f t="shared" si="323"/>
        <v>20250922</v>
      </c>
      <c r="B1489" s="2" t="str">
        <f>"24189852"</f>
        <v>24189852</v>
      </c>
      <c r="C1489" s="2" t="str">
        <f>"윤선아"</f>
        <v>윤선아</v>
      </c>
      <c r="D1489" s="2" t="str">
        <f>"F"</f>
        <v>F</v>
      </c>
      <c r="E1489" s="2" t="str">
        <f>"19880516"</f>
        <v>19880516</v>
      </c>
      <c r="F1489" s="2" t="str">
        <f>"37"</f>
        <v>37</v>
      </c>
      <c r="G1489" s="2" t="str">
        <f t="shared" si="319"/>
        <v>E78660</v>
      </c>
      <c r="H1489" s="2" t="str">
        <f t="shared" si="320"/>
        <v>가톨릭대학교 서울성모병원</v>
      </c>
      <c r="I1489" s="2" t="str">
        <f t="shared" si="322"/>
        <v>특수</v>
      </c>
    </row>
    <row r="1490" spans="1:9" x14ac:dyDescent="0.3">
      <c r="A1490" s="2" t="str">
        <f t="shared" si="323"/>
        <v>20250922</v>
      </c>
      <c r="B1490" s="2" t="str">
        <f>"24398240"</f>
        <v>24398240</v>
      </c>
      <c r="C1490" s="2" t="str">
        <f>"오경진"</f>
        <v>오경진</v>
      </c>
      <c r="D1490" s="2" t="str">
        <f>"F"</f>
        <v>F</v>
      </c>
      <c r="E1490" s="2" t="str">
        <f>"19880802"</f>
        <v>19880802</v>
      </c>
      <c r="F1490" s="2" t="str">
        <f>"37"</f>
        <v>37</v>
      </c>
      <c r="G1490" s="2" t="str">
        <f t="shared" si="319"/>
        <v>E78660</v>
      </c>
      <c r="H1490" s="2" t="str">
        <f t="shared" si="320"/>
        <v>가톨릭대학교 서울성모병원</v>
      </c>
      <c r="I1490" s="2" t="str">
        <f t="shared" si="322"/>
        <v>특수</v>
      </c>
    </row>
    <row r="1491" spans="1:9" x14ac:dyDescent="0.3">
      <c r="A1491" s="2" t="str">
        <f t="shared" si="323"/>
        <v>20250922</v>
      </c>
      <c r="B1491" s="2" t="str">
        <f>"25251996"</f>
        <v>25251996</v>
      </c>
      <c r="C1491" s="2" t="str">
        <f>"한지은"</f>
        <v>한지은</v>
      </c>
      <c r="D1491" s="2" t="str">
        <f>"F"</f>
        <v>F</v>
      </c>
      <c r="E1491" s="2" t="str">
        <f>"19860812"</f>
        <v>19860812</v>
      </c>
      <c r="F1491" s="2" t="str">
        <f>"39"</f>
        <v>39</v>
      </c>
      <c r="G1491" s="2" t="str">
        <f t="shared" si="319"/>
        <v>E78660</v>
      </c>
      <c r="H1491" s="2" t="str">
        <f t="shared" si="320"/>
        <v>가톨릭대학교 서울성모병원</v>
      </c>
      <c r="I1491" s="2" t="str">
        <f t="shared" si="322"/>
        <v>특수</v>
      </c>
    </row>
    <row r="1492" spans="1:9" x14ac:dyDescent="0.3">
      <c r="A1492" s="2" t="str">
        <f t="shared" si="323"/>
        <v>20250922</v>
      </c>
      <c r="B1492" s="2" t="str">
        <f>"29611833"</f>
        <v>29611833</v>
      </c>
      <c r="C1492" s="2" t="str">
        <f>"권민오"</f>
        <v>권민오</v>
      </c>
      <c r="D1492" s="2" t="str">
        <f>"M"</f>
        <v>M</v>
      </c>
      <c r="E1492" s="2" t="str">
        <f>"19911216"</f>
        <v>19911216</v>
      </c>
      <c r="F1492" s="2" t="str">
        <f>"33"</f>
        <v>33</v>
      </c>
      <c r="G1492" s="2" t="str">
        <f t="shared" si="319"/>
        <v>E78660</v>
      </c>
      <c r="H1492" s="2" t="str">
        <f t="shared" si="320"/>
        <v>가톨릭대학교 서울성모병원</v>
      </c>
      <c r="I1492" s="2" t="str">
        <f t="shared" si="322"/>
        <v>특수</v>
      </c>
    </row>
    <row r="1493" spans="1:9" x14ac:dyDescent="0.3">
      <c r="A1493" s="2" t="str">
        <f t="shared" si="323"/>
        <v>20250922</v>
      </c>
      <c r="B1493" s="2" t="str">
        <f>"35054582"</f>
        <v>35054582</v>
      </c>
      <c r="C1493" s="2" t="str">
        <f>"최재현"</f>
        <v>최재현</v>
      </c>
      <c r="D1493" s="2" t="str">
        <f>"M"</f>
        <v>M</v>
      </c>
      <c r="E1493" s="2" t="str">
        <f>"19950726"</f>
        <v>19950726</v>
      </c>
      <c r="F1493" s="2" t="str">
        <f>"30"</f>
        <v>30</v>
      </c>
      <c r="G1493" s="2" t="str">
        <f t="shared" si="319"/>
        <v>E78660</v>
      </c>
      <c r="H1493" s="2" t="str">
        <f t="shared" si="320"/>
        <v>가톨릭대학교 서울성모병원</v>
      </c>
      <c r="I1493" s="2" t="str">
        <f t="shared" si="322"/>
        <v>특수</v>
      </c>
    </row>
    <row r="1494" spans="1:9" x14ac:dyDescent="0.3">
      <c r="A1494" s="2" t="str">
        <f t="shared" si="323"/>
        <v>20250922</v>
      </c>
      <c r="B1494" s="2" t="str">
        <f>"38871783"</f>
        <v>38871783</v>
      </c>
      <c r="C1494" s="2" t="str">
        <f>"김가연"</f>
        <v>김가연</v>
      </c>
      <c r="D1494" s="2" t="str">
        <f t="shared" ref="D1494:D1501" si="324">"F"</f>
        <v>F</v>
      </c>
      <c r="E1494" s="2" t="str">
        <f>"20000829"</f>
        <v>20000829</v>
      </c>
      <c r="F1494" s="2" t="str">
        <f>"25"</f>
        <v>25</v>
      </c>
      <c r="G1494" s="2" t="str">
        <f t="shared" si="319"/>
        <v>E78660</v>
      </c>
      <c r="H1494" s="2" t="str">
        <f t="shared" si="320"/>
        <v>가톨릭대학교 서울성모병원</v>
      </c>
      <c r="I1494" s="2" t="str">
        <f t="shared" si="322"/>
        <v>특수</v>
      </c>
    </row>
    <row r="1495" spans="1:9" x14ac:dyDescent="0.3">
      <c r="A1495" s="2" t="str">
        <f t="shared" si="323"/>
        <v>20250922</v>
      </c>
      <c r="B1495" s="2" t="str">
        <f>"40223361"</f>
        <v>40223361</v>
      </c>
      <c r="C1495" s="2" t="str">
        <f>"송춘희"</f>
        <v>송춘희</v>
      </c>
      <c r="D1495" s="2" t="str">
        <f t="shared" si="324"/>
        <v>F</v>
      </c>
      <c r="E1495" s="2" t="str">
        <f>"19720502"</f>
        <v>19720502</v>
      </c>
      <c r="F1495" s="2" t="str">
        <f>"53"</f>
        <v>53</v>
      </c>
      <c r="G1495" s="2" t="str">
        <f t="shared" si="319"/>
        <v>E78660</v>
      </c>
      <c r="H1495" s="2" t="str">
        <f t="shared" si="320"/>
        <v>가톨릭대학교 서울성모병원</v>
      </c>
      <c r="I1495" s="2" t="str">
        <f>"배치후"</f>
        <v>배치후</v>
      </c>
    </row>
    <row r="1496" spans="1:9" x14ac:dyDescent="0.3">
      <c r="A1496" s="2" t="str">
        <f t="shared" si="323"/>
        <v>20250922</v>
      </c>
      <c r="B1496" s="2" t="str">
        <f>"40722532"</f>
        <v>40722532</v>
      </c>
      <c r="C1496" s="2" t="str">
        <f>"이지예"</f>
        <v>이지예</v>
      </c>
      <c r="D1496" s="2" t="str">
        <f t="shared" si="324"/>
        <v>F</v>
      </c>
      <c r="E1496" s="2" t="str">
        <f>"19950710"</f>
        <v>19950710</v>
      </c>
      <c r="F1496" s="2" t="str">
        <f>"30"</f>
        <v>30</v>
      </c>
      <c r="G1496" s="2" t="str">
        <f t="shared" si="319"/>
        <v>E78660</v>
      </c>
      <c r="H1496" s="2" t="str">
        <f t="shared" si="320"/>
        <v>가톨릭대학교 서울성모병원</v>
      </c>
      <c r="I1496" s="2" t="str">
        <f>"배치후"</f>
        <v>배치후</v>
      </c>
    </row>
    <row r="1497" spans="1:9" x14ac:dyDescent="0.3">
      <c r="A1497" s="2" t="str">
        <f t="shared" si="323"/>
        <v>20250922</v>
      </c>
      <c r="B1497" s="2" t="str">
        <f>"40774052"</f>
        <v>40774052</v>
      </c>
      <c r="C1497" s="2" t="str">
        <f>"우다연"</f>
        <v>우다연</v>
      </c>
      <c r="D1497" s="2" t="str">
        <f t="shared" si="324"/>
        <v>F</v>
      </c>
      <c r="E1497" s="2" t="str">
        <f>"19990521"</f>
        <v>19990521</v>
      </c>
      <c r="F1497" s="2" t="str">
        <f>"26"</f>
        <v>26</v>
      </c>
      <c r="G1497" s="2" t="str">
        <f t="shared" si="319"/>
        <v>E78660</v>
      </c>
      <c r="H1497" s="2" t="str">
        <f t="shared" si="320"/>
        <v>가톨릭대학교 서울성모병원</v>
      </c>
      <c r="I1497" s="2" t="str">
        <f>"배치후"</f>
        <v>배치후</v>
      </c>
    </row>
    <row r="1498" spans="1:9" x14ac:dyDescent="0.3">
      <c r="A1498" s="2" t="str">
        <f t="shared" si="323"/>
        <v>20250922</v>
      </c>
      <c r="B1498" s="2" t="str">
        <f>"8229703"</f>
        <v>8229703</v>
      </c>
      <c r="C1498" s="2" t="str">
        <f>"노정화"</f>
        <v>노정화</v>
      </c>
      <c r="D1498" s="2" t="str">
        <f t="shared" si="324"/>
        <v>F</v>
      </c>
      <c r="E1498" s="2" t="str">
        <f>"19720505"</f>
        <v>19720505</v>
      </c>
      <c r="F1498" s="2" t="str">
        <f>"53"</f>
        <v>53</v>
      </c>
      <c r="G1498" s="2" t="str">
        <f t="shared" si="319"/>
        <v>E78660</v>
      </c>
      <c r="H1498" s="2" t="str">
        <f t="shared" si="320"/>
        <v>가톨릭대학교 서울성모병원</v>
      </c>
      <c r="I1498" s="2" t="str">
        <f>"특수"</f>
        <v>특수</v>
      </c>
    </row>
    <row r="1499" spans="1:9" x14ac:dyDescent="0.3">
      <c r="A1499" s="2" t="str">
        <f t="shared" si="323"/>
        <v>20250922</v>
      </c>
      <c r="B1499" s="2" t="str">
        <f>"9716799"</f>
        <v>9716799</v>
      </c>
      <c r="C1499" s="2" t="str">
        <f>"김명희"</f>
        <v>김명희</v>
      </c>
      <c r="D1499" s="2" t="str">
        <f t="shared" si="324"/>
        <v>F</v>
      </c>
      <c r="E1499" s="2" t="str">
        <f>"19770205"</f>
        <v>19770205</v>
      </c>
      <c r="F1499" s="2" t="str">
        <f>"48"</f>
        <v>48</v>
      </c>
      <c r="G1499" s="2" t="str">
        <f t="shared" si="319"/>
        <v>E78660</v>
      </c>
      <c r="H1499" s="2" t="str">
        <f t="shared" si="320"/>
        <v>가톨릭대학교 서울성모병원</v>
      </c>
      <c r="I1499" s="2" t="str">
        <f>"특수"</f>
        <v>특수</v>
      </c>
    </row>
    <row r="1500" spans="1:9" x14ac:dyDescent="0.3">
      <c r="A1500" s="2" t="str">
        <f t="shared" ref="A1500:A1512" si="325">"20250923"</f>
        <v>20250923</v>
      </c>
      <c r="B1500" s="2" t="str">
        <f>"19200202"</f>
        <v>19200202</v>
      </c>
      <c r="C1500" s="2" t="str">
        <f>"김태은"</f>
        <v>김태은</v>
      </c>
      <c r="D1500" s="2" t="str">
        <f t="shared" si="324"/>
        <v>F</v>
      </c>
      <c r="E1500" s="2" t="str">
        <f>"19821109"</f>
        <v>19821109</v>
      </c>
      <c r="F1500" s="2" t="str">
        <f>"42"</f>
        <v>42</v>
      </c>
      <c r="G1500" s="2" t="str">
        <f t="shared" si="319"/>
        <v>E78660</v>
      </c>
      <c r="H1500" s="2" t="str">
        <f t="shared" si="320"/>
        <v>가톨릭대학교 서울성모병원</v>
      </c>
      <c r="I1500" s="2" t="str">
        <f>"배치전"</f>
        <v>배치전</v>
      </c>
    </row>
    <row r="1501" spans="1:9" x14ac:dyDescent="0.3">
      <c r="A1501" s="2" t="str">
        <f t="shared" si="325"/>
        <v>20250923</v>
      </c>
      <c r="B1501" s="2" t="str">
        <f>"23676405"</f>
        <v>23676405</v>
      </c>
      <c r="C1501" s="2" t="str">
        <f>"서민경"</f>
        <v>서민경</v>
      </c>
      <c r="D1501" s="2" t="str">
        <f t="shared" si="324"/>
        <v>F</v>
      </c>
      <c r="E1501" s="2" t="str">
        <f>"19920826"</f>
        <v>19920826</v>
      </c>
      <c r="F1501" s="2" t="str">
        <f>"33"</f>
        <v>33</v>
      </c>
      <c r="G1501" s="2" t="str">
        <f t="shared" si="319"/>
        <v>E78660</v>
      </c>
      <c r="H1501" s="2" t="str">
        <f t="shared" si="320"/>
        <v>가톨릭대학교 서울성모병원</v>
      </c>
      <c r="I1501" s="2" t="str">
        <f>"특수"</f>
        <v>특수</v>
      </c>
    </row>
    <row r="1502" spans="1:9" x14ac:dyDescent="0.3">
      <c r="A1502" s="2" t="str">
        <f t="shared" si="325"/>
        <v>20250923</v>
      </c>
      <c r="B1502" s="2" t="str">
        <f>"23720891"</f>
        <v>23720891</v>
      </c>
      <c r="C1502" s="2" t="str">
        <f>"신동필"</f>
        <v>신동필</v>
      </c>
      <c r="D1502" s="2" t="str">
        <f>"M"</f>
        <v>M</v>
      </c>
      <c r="E1502" s="2" t="str">
        <f>"19850321"</f>
        <v>19850321</v>
      </c>
      <c r="F1502" s="2" t="str">
        <f>"40"</f>
        <v>40</v>
      </c>
      <c r="G1502" s="2" t="str">
        <f t="shared" si="319"/>
        <v>E78660</v>
      </c>
      <c r="H1502" s="2" t="str">
        <f t="shared" si="320"/>
        <v>가톨릭대학교 서울성모병원</v>
      </c>
      <c r="I1502" s="2" t="str">
        <f>"특수"</f>
        <v>특수</v>
      </c>
    </row>
    <row r="1503" spans="1:9" x14ac:dyDescent="0.3">
      <c r="A1503" s="2" t="str">
        <f t="shared" si="325"/>
        <v>20250923</v>
      </c>
      <c r="B1503" s="2" t="str">
        <f>"24632213"</f>
        <v>24632213</v>
      </c>
      <c r="C1503" s="2" t="str">
        <f>"우선미"</f>
        <v>우선미</v>
      </c>
      <c r="D1503" s="2" t="str">
        <f t="shared" ref="D1503:D1518" si="326">"F"</f>
        <v>F</v>
      </c>
      <c r="E1503" s="2" t="str">
        <f>"19830115"</f>
        <v>19830115</v>
      </c>
      <c r="F1503" s="2" t="str">
        <f>"42"</f>
        <v>42</v>
      </c>
      <c r="G1503" s="2" t="str">
        <f t="shared" si="319"/>
        <v>E78660</v>
      </c>
      <c r="H1503" s="2" t="str">
        <f t="shared" si="320"/>
        <v>가톨릭대학교 서울성모병원</v>
      </c>
      <c r="I1503" s="2" t="str">
        <f>"특수"</f>
        <v>특수</v>
      </c>
    </row>
    <row r="1504" spans="1:9" x14ac:dyDescent="0.3">
      <c r="A1504" s="2" t="str">
        <f t="shared" si="325"/>
        <v>20250923</v>
      </c>
      <c r="B1504" s="2" t="str">
        <f>"27711804"</f>
        <v>27711804</v>
      </c>
      <c r="C1504" s="2" t="str">
        <f>"권가은"</f>
        <v>권가은</v>
      </c>
      <c r="D1504" s="2" t="str">
        <f t="shared" si="326"/>
        <v>F</v>
      </c>
      <c r="E1504" s="2" t="str">
        <f>"19920208"</f>
        <v>19920208</v>
      </c>
      <c r="F1504" s="2" t="str">
        <f>"33"</f>
        <v>33</v>
      </c>
      <c r="G1504" s="2" t="str">
        <f t="shared" si="319"/>
        <v>E78660</v>
      </c>
      <c r="H1504" s="2" t="str">
        <f t="shared" si="320"/>
        <v>가톨릭대학교 서울성모병원</v>
      </c>
      <c r="I1504" s="2" t="str">
        <f>"특수"</f>
        <v>특수</v>
      </c>
    </row>
    <row r="1505" spans="1:9" x14ac:dyDescent="0.3">
      <c r="A1505" s="2" t="str">
        <f t="shared" si="325"/>
        <v>20250923</v>
      </c>
      <c r="B1505" s="2" t="str">
        <f>"33447916"</f>
        <v>33447916</v>
      </c>
      <c r="C1505" s="2" t="str">
        <f>"장은정"</f>
        <v>장은정</v>
      </c>
      <c r="D1505" s="2" t="str">
        <f t="shared" si="326"/>
        <v>F</v>
      </c>
      <c r="E1505" s="2" t="str">
        <f>"20000612"</f>
        <v>20000612</v>
      </c>
      <c r="F1505" s="2" t="str">
        <f>"25"</f>
        <v>25</v>
      </c>
      <c r="G1505" s="2" t="str">
        <f t="shared" si="319"/>
        <v>E78660</v>
      </c>
      <c r="H1505" s="2" t="str">
        <f t="shared" si="320"/>
        <v>가톨릭대학교 서울성모병원</v>
      </c>
      <c r="I1505" s="2" t="str">
        <f>"특수"</f>
        <v>특수</v>
      </c>
    </row>
    <row r="1506" spans="1:9" x14ac:dyDescent="0.3">
      <c r="A1506" s="2" t="str">
        <f t="shared" si="325"/>
        <v>20250923</v>
      </c>
      <c r="B1506" s="2" t="str">
        <f>"36697814"</f>
        <v>36697814</v>
      </c>
      <c r="C1506" s="2" t="str">
        <f>"이윤하"</f>
        <v>이윤하</v>
      </c>
      <c r="D1506" s="2" t="str">
        <f t="shared" si="326"/>
        <v>F</v>
      </c>
      <c r="E1506" s="2" t="str">
        <f>"19940202"</f>
        <v>19940202</v>
      </c>
      <c r="F1506" s="2" t="str">
        <f>"31"</f>
        <v>31</v>
      </c>
      <c r="G1506" s="2" t="str">
        <f t="shared" si="319"/>
        <v>E78660</v>
      </c>
      <c r="H1506" s="2" t="str">
        <f t="shared" si="320"/>
        <v>가톨릭대학교 서울성모병원</v>
      </c>
      <c r="I1506" s="2" t="str">
        <f t="shared" ref="I1506:I1512" si="327">"배치전"</f>
        <v>배치전</v>
      </c>
    </row>
    <row r="1507" spans="1:9" x14ac:dyDescent="0.3">
      <c r="A1507" s="2" t="str">
        <f t="shared" si="325"/>
        <v>20250923</v>
      </c>
      <c r="B1507" s="2" t="str">
        <f>"38391321"</f>
        <v>38391321</v>
      </c>
      <c r="C1507" s="2" t="str">
        <f>"조하림"</f>
        <v>조하림</v>
      </c>
      <c r="D1507" s="2" t="str">
        <f t="shared" si="326"/>
        <v>F</v>
      </c>
      <c r="E1507" s="2" t="str">
        <f>"19981111"</f>
        <v>19981111</v>
      </c>
      <c r="F1507" s="2" t="str">
        <f>"26"</f>
        <v>26</v>
      </c>
      <c r="G1507" s="2" t="str">
        <f t="shared" si="319"/>
        <v>E78660</v>
      </c>
      <c r="H1507" s="2" t="str">
        <f t="shared" si="320"/>
        <v>가톨릭대학교 서울성모병원</v>
      </c>
      <c r="I1507" s="2" t="str">
        <f t="shared" si="327"/>
        <v>배치전</v>
      </c>
    </row>
    <row r="1508" spans="1:9" x14ac:dyDescent="0.3">
      <c r="A1508" s="2" t="str">
        <f t="shared" si="325"/>
        <v>20250923</v>
      </c>
      <c r="B1508" s="2" t="str">
        <f>"39369290"</f>
        <v>39369290</v>
      </c>
      <c r="C1508" s="2" t="str">
        <f>"조민지"</f>
        <v>조민지</v>
      </c>
      <c r="D1508" s="2" t="str">
        <f t="shared" si="326"/>
        <v>F</v>
      </c>
      <c r="E1508" s="2" t="str">
        <f>"20001126"</f>
        <v>20001126</v>
      </c>
      <c r="F1508" s="2" t="str">
        <f>"24"</f>
        <v>24</v>
      </c>
      <c r="G1508" s="2" t="str">
        <f t="shared" si="319"/>
        <v>E78660</v>
      </c>
      <c r="H1508" s="2" t="str">
        <f t="shared" si="320"/>
        <v>가톨릭대학교 서울성모병원</v>
      </c>
      <c r="I1508" s="2" t="str">
        <f t="shared" si="327"/>
        <v>배치전</v>
      </c>
    </row>
    <row r="1509" spans="1:9" x14ac:dyDescent="0.3">
      <c r="A1509" s="2" t="str">
        <f t="shared" si="325"/>
        <v>20250923</v>
      </c>
      <c r="B1509" s="2" t="str">
        <f>"40735232"</f>
        <v>40735232</v>
      </c>
      <c r="C1509" s="2" t="str">
        <f>"장지원"</f>
        <v>장지원</v>
      </c>
      <c r="D1509" s="2" t="str">
        <f t="shared" si="326"/>
        <v>F</v>
      </c>
      <c r="E1509" s="2" t="str">
        <f>"19970802"</f>
        <v>19970802</v>
      </c>
      <c r="F1509" s="2" t="str">
        <f>"28"</f>
        <v>28</v>
      </c>
      <c r="G1509" s="2" t="str">
        <f t="shared" si="319"/>
        <v>E78660</v>
      </c>
      <c r="H1509" s="2" t="str">
        <f t="shared" si="320"/>
        <v>가톨릭대학교 서울성모병원</v>
      </c>
      <c r="I1509" s="2" t="str">
        <f t="shared" si="327"/>
        <v>배치전</v>
      </c>
    </row>
    <row r="1510" spans="1:9" x14ac:dyDescent="0.3">
      <c r="A1510" s="2" t="str">
        <f t="shared" si="325"/>
        <v>20250923</v>
      </c>
      <c r="B1510" s="2" t="str">
        <f>"41209211"</f>
        <v>41209211</v>
      </c>
      <c r="C1510" s="2" t="str">
        <f>"이동연"</f>
        <v>이동연</v>
      </c>
      <c r="D1510" s="2" t="str">
        <f t="shared" si="326"/>
        <v>F</v>
      </c>
      <c r="E1510" s="2" t="str">
        <f>"19991228"</f>
        <v>19991228</v>
      </c>
      <c r="F1510" s="2" t="str">
        <f>"25"</f>
        <v>25</v>
      </c>
      <c r="G1510" s="2" t="str">
        <f t="shared" si="319"/>
        <v>E78660</v>
      </c>
      <c r="H1510" s="2" t="str">
        <f t="shared" si="320"/>
        <v>가톨릭대학교 서울성모병원</v>
      </c>
      <c r="I1510" s="2" t="str">
        <f t="shared" si="327"/>
        <v>배치전</v>
      </c>
    </row>
    <row r="1511" spans="1:9" x14ac:dyDescent="0.3">
      <c r="A1511" s="2" t="str">
        <f t="shared" si="325"/>
        <v>20250923</v>
      </c>
      <c r="B1511" s="2" t="str">
        <f>"41321964"</f>
        <v>41321964</v>
      </c>
      <c r="C1511" s="2" t="str">
        <f>"강혜진"</f>
        <v>강혜진</v>
      </c>
      <c r="D1511" s="2" t="str">
        <f t="shared" si="326"/>
        <v>F</v>
      </c>
      <c r="E1511" s="2" t="str">
        <f>"19970128"</f>
        <v>19970128</v>
      </c>
      <c r="F1511" s="2" t="str">
        <f>"28"</f>
        <v>28</v>
      </c>
      <c r="G1511" s="2" t="str">
        <f t="shared" si="319"/>
        <v>E78660</v>
      </c>
      <c r="H1511" s="2" t="str">
        <f t="shared" si="320"/>
        <v>가톨릭대학교 서울성모병원</v>
      </c>
      <c r="I1511" s="2" t="str">
        <f t="shared" si="327"/>
        <v>배치전</v>
      </c>
    </row>
    <row r="1512" spans="1:9" x14ac:dyDescent="0.3">
      <c r="A1512" s="2" t="str">
        <f t="shared" si="325"/>
        <v>20250923</v>
      </c>
      <c r="B1512" s="2" t="str">
        <f>"7514515"</f>
        <v>7514515</v>
      </c>
      <c r="C1512" s="2" t="str">
        <f>"유경"</f>
        <v>유경</v>
      </c>
      <c r="D1512" s="2" t="str">
        <f t="shared" si="326"/>
        <v>F</v>
      </c>
      <c r="E1512" s="2" t="str">
        <f>"19920410"</f>
        <v>19920410</v>
      </c>
      <c r="F1512" s="2" t="str">
        <f>"33"</f>
        <v>33</v>
      </c>
      <c r="G1512" s="2" t="str">
        <f t="shared" si="319"/>
        <v>E78660</v>
      </c>
      <c r="H1512" s="2" t="str">
        <f t="shared" si="320"/>
        <v>가톨릭대학교 서울성모병원</v>
      </c>
      <c r="I1512" s="2" t="str">
        <f t="shared" si="327"/>
        <v>배치전</v>
      </c>
    </row>
    <row r="1513" spans="1:9" x14ac:dyDescent="0.3">
      <c r="A1513" s="2" t="str">
        <f t="shared" ref="A1513:A1526" si="328">"20250924"</f>
        <v>20250924</v>
      </c>
      <c r="B1513" s="2" t="str">
        <f>"21250414"</f>
        <v>21250414</v>
      </c>
      <c r="C1513" s="2" t="str">
        <f>"최서연"</f>
        <v>최서연</v>
      </c>
      <c r="D1513" s="2" t="str">
        <f t="shared" si="326"/>
        <v>F</v>
      </c>
      <c r="E1513" s="2" t="str">
        <f>"19810429"</f>
        <v>19810429</v>
      </c>
      <c r="F1513" s="2" t="str">
        <f>"44"</f>
        <v>44</v>
      </c>
      <c r="G1513" s="2" t="str">
        <f t="shared" si="319"/>
        <v>E78660</v>
      </c>
      <c r="H1513" s="2" t="str">
        <f t="shared" si="320"/>
        <v>가톨릭대학교 서울성모병원</v>
      </c>
      <c r="I1513" s="2" t="str">
        <f>"특수"</f>
        <v>특수</v>
      </c>
    </row>
    <row r="1514" spans="1:9" x14ac:dyDescent="0.3">
      <c r="A1514" s="2" t="str">
        <f t="shared" si="328"/>
        <v>20250924</v>
      </c>
      <c r="B1514" s="2" t="str">
        <f>"21773384"</f>
        <v>21773384</v>
      </c>
      <c r="C1514" s="2" t="str">
        <f>"곽나영"</f>
        <v>곽나영</v>
      </c>
      <c r="D1514" s="2" t="str">
        <f t="shared" si="326"/>
        <v>F</v>
      </c>
      <c r="E1514" s="2" t="str">
        <f>"19820402"</f>
        <v>19820402</v>
      </c>
      <c r="F1514" s="2" t="str">
        <f>"43"</f>
        <v>43</v>
      </c>
      <c r="G1514" s="2" t="str">
        <f t="shared" si="319"/>
        <v>E78660</v>
      </c>
      <c r="H1514" s="2" t="str">
        <f t="shared" si="320"/>
        <v>가톨릭대학교 서울성모병원</v>
      </c>
      <c r="I1514" s="2" t="str">
        <f>"특수"</f>
        <v>특수</v>
      </c>
    </row>
    <row r="1515" spans="1:9" x14ac:dyDescent="0.3">
      <c r="A1515" s="2" t="str">
        <f t="shared" si="328"/>
        <v>20250924</v>
      </c>
      <c r="B1515" s="2" t="str">
        <f>"21813914"</f>
        <v>21813914</v>
      </c>
      <c r="C1515" s="2" t="str">
        <f>"김가은"</f>
        <v>김가은</v>
      </c>
      <c r="D1515" s="2" t="str">
        <f t="shared" si="326"/>
        <v>F</v>
      </c>
      <c r="E1515" s="2" t="str">
        <f>"19950120"</f>
        <v>19950120</v>
      </c>
      <c r="F1515" s="2" t="str">
        <f>"30"</f>
        <v>30</v>
      </c>
      <c r="G1515" s="2" t="str">
        <f t="shared" si="319"/>
        <v>E78660</v>
      </c>
      <c r="H1515" s="2" t="str">
        <f t="shared" si="320"/>
        <v>가톨릭대학교 서울성모병원</v>
      </c>
      <c r="I1515" s="2" t="str">
        <f>"배치전"</f>
        <v>배치전</v>
      </c>
    </row>
    <row r="1516" spans="1:9" x14ac:dyDescent="0.3">
      <c r="A1516" s="2" t="str">
        <f t="shared" si="328"/>
        <v>20250924</v>
      </c>
      <c r="B1516" s="2" t="str">
        <f>"25913231"</f>
        <v>25913231</v>
      </c>
      <c r="C1516" s="2" t="str">
        <f>"이희선"</f>
        <v>이희선</v>
      </c>
      <c r="D1516" s="2" t="str">
        <f t="shared" si="326"/>
        <v>F</v>
      </c>
      <c r="E1516" s="2" t="str">
        <f>"19900110"</f>
        <v>19900110</v>
      </c>
      <c r="F1516" s="2" t="str">
        <f>"35"</f>
        <v>35</v>
      </c>
      <c r="G1516" s="2" t="str">
        <f t="shared" si="319"/>
        <v>E78660</v>
      </c>
      <c r="H1516" s="2" t="str">
        <f t="shared" si="320"/>
        <v>가톨릭대학교 서울성모병원</v>
      </c>
      <c r="I1516" s="2" t="str">
        <f>"배치전"</f>
        <v>배치전</v>
      </c>
    </row>
    <row r="1517" spans="1:9" x14ac:dyDescent="0.3">
      <c r="A1517" s="2" t="str">
        <f t="shared" si="328"/>
        <v>20250924</v>
      </c>
      <c r="B1517" s="2" t="str">
        <f>"26259813"</f>
        <v>26259813</v>
      </c>
      <c r="C1517" s="2" t="str">
        <f>"강지원"</f>
        <v>강지원</v>
      </c>
      <c r="D1517" s="2" t="str">
        <f t="shared" si="326"/>
        <v>F</v>
      </c>
      <c r="E1517" s="2" t="str">
        <f>"19901210"</f>
        <v>19901210</v>
      </c>
      <c r="F1517" s="2" t="str">
        <f>"34"</f>
        <v>34</v>
      </c>
      <c r="G1517" s="2" t="str">
        <f t="shared" si="319"/>
        <v>E78660</v>
      </c>
      <c r="H1517" s="2" t="str">
        <f t="shared" si="320"/>
        <v>가톨릭대학교 서울성모병원</v>
      </c>
      <c r="I1517" s="2" t="str">
        <f>"배치전"</f>
        <v>배치전</v>
      </c>
    </row>
    <row r="1518" spans="1:9" x14ac:dyDescent="0.3">
      <c r="A1518" s="2" t="str">
        <f t="shared" si="328"/>
        <v>20250924</v>
      </c>
      <c r="B1518" s="2" t="str">
        <f>"40722601"</f>
        <v>40722601</v>
      </c>
      <c r="C1518" s="2" t="str">
        <f>"임민지"</f>
        <v>임민지</v>
      </c>
      <c r="D1518" s="2" t="str">
        <f t="shared" si="326"/>
        <v>F</v>
      </c>
      <c r="E1518" s="2" t="str">
        <f>"19960531"</f>
        <v>19960531</v>
      </c>
      <c r="F1518" s="2" t="str">
        <f>"29"</f>
        <v>29</v>
      </c>
      <c r="G1518" s="2" t="str">
        <f t="shared" si="319"/>
        <v>E78660</v>
      </c>
      <c r="H1518" s="2" t="str">
        <f t="shared" si="320"/>
        <v>가톨릭대학교 서울성모병원</v>
      </c>
      <c r="I1518" s="2" t="str">
        <f>"배치후"</f>
        <v>배치후</v>
      </c>
    </row>
    <row r="1519" spans="1:9" x14ac:dyDescent="0.3">
      <c r="A1519" s="2" t="str">
        <f t="shared" si="328"/>
        <v>20250924</v>
      </c>
      <c r="B1519" s="2" t="str">
        <f>"41135181"</f>
        <v>41135181</v>
      </c>
      <c r="C1519" s="2" t="str">
        <f>"김경수"</f>
        <v>김경수</v>
      </c>
      <c r="D1519" s="2" t="str">
        <f>"M"</f>
        <v>M</v>
      </c>
      <c r="E1519" s="2" t="str">
        <f>"20000510"</f>
        <v>20000510</v>
      </c>
      <c r="F1519" s="2" t="str">
        <f>"25"</f>
        <v>25</v>
      </c>
      <c r="G1519" s="2" t="str">
        <f t="shared" si="319"/>
        <v>E78660</v>
      </c>
      <c r="H1519" s="2" t="str">
        <f t="shared" si="320"/>
        <v>가톨릭대학교 서울성모병원</v>
      </c>
      <c r="I1519" s="2" t="str">
        <f t="shared" ref="I1519:I1525" si="329">"배치전"</f>
        <v>배치전</v>
      </c>
    </row>
    <row r="1520" spans="1:9" x14ac:dyDescent="0.3">
      <c r="A1520" s="2" t="str">
        <f t="shared" si="328"/>
        <v>20250924</v>
      </c>
      <c r="B1520" s="2" t="str">
        <f>"41135190"</f>
        <v>41135190</v>
      </c>
      <c r="C1520" s="2" t="str">
        <f>"설현영"</f>
        <v>설현영</v>
      </c>
      <c r="D1520" s="2" t="str">
        <f>"F"</f>
        <v>F</v>
      </c>
      <c r="E1520" s="2" t="str">
        <f>"20010318"</f>
        <v>20010318</v>
      </c>
      <c r="F1520" s="2" t="str">
        <f>"24"</f>
        <v>24</v>
      </c>
      <c r="G1520" s="2" t="str">
        <f t="shared" si="319"/>
        <v>E78660</v>
      </c>
      <c r="H1520" s="2" t="str">
        <f t="shared" si="320"/>
        <v>가톨릭대학교 서울성모병원</v>
      </c>
      <c r="I1520" s="2" t="str">
        <f t="shared" si="329"/>
        <v>배치전</v>
      </c>
    </row>
    <row r="1521" spans="1:9" x14ac:dyDescent="0.3">
      <c r="A1521" s="2" t="str">
        <f t="shared" si="328"/>
        <v>20250924</v>
      </c>
      <c r="B1521" s="2" t="str">
        <f>"41135204"</f>
        <v>41135204</v>
      </c>
      <c r="C1521" s="2" t="str">
        <f>"박은서"</f>
        <v>박은서</v>
      </c>
      <c r="D1521" s="2" t="str">
        <f>"F"</f>
        <v>F</v>
      </c>
      <c r="E1521" s="2" t="str">
        <f>"20010408"</f>
        <v>20010408</v>
      </c>
      <c r="F1521" s="2" t="str">
        <f>"24"</f>
        <v>24</v>
      </c>
      <c r="G1521" s="2" t="str">
        <f t="shared" si="319"/>
        <v>E78660</v>
      </c>
      <c r="H1521" s="2" t="str">
        <f t="shared" si="320"/>
        <v>가톨릭대학교 서울성모병원</v>
      </c>
      <c r="I1521" s="2" t="str">
        <f t="shared" si="329"/>
        <v>배치전</v>
      </c>
    </row>
    <row r="1522" spans="1:9" x14ac:dyDescent="0.3">
      <c r="A1522" s="2" t="str">
        <f t="shared" si="328"/>
        <v>20250924</v>
      </c>
      <c r="B1522" s="2" t="str">
        <f>"41166295"</f>
        <v>41166295</v>
      </c>
      <c r="C1522" s="2" t="str">
        <f>"박민지"</f>
        <v>박민지</v>
      </c>
      <c r="D1522" s="2" t="str">
        <f>"F"</f>
        <v>F</v>
      </c>
      <c r="E1522" s="2" t="str">
        <f>"20010304"</f>
        <v>20010304</v>
      </c>
      <c r="F1522" s="2" t="str">
        <f>"24"</f>
        <v>24</v>
      </c>
      <c r="G1522" s="2" t="str">
        <f t="shared" si="319"/>
        <v>E78660</v>
      </c>
      <c r="H1522" s="2" t="str">
        <f t="shared" si="320"/>
        <v>가톨릭대학교 서울성모병원</v>
      </c>
      <c r="I1522" s="2" t="str">
        <f t="shared" si="329"/>
        <v>배치전</v>
      </c>
    </row>
    <row r="1523" spans="1:9" x14ac:dyDescent="0.3">
      <c r="A1523" s="2" t="str">
        <f t="shared" si="328"/>
        <v>20250924</v>
      </c>
      <c r="B1523" s="2" t="str">
        <f>"41321973"</f>
        <v>41321973</v>
      </c>
      <c r="C1523" s="2" t="str">
        <f>"이슬비"</f>
        <v>이슬비</v>
      </c>
      <c r="D1523" s="2" t="str">
        <f>"F"</f>
        <v>F</v>
      </c>
      <c r="E1523" s="2" t="str">
        <f>"19930220"</f>
        <v>19930220</v>
      </c>
      <c r="F1523" s="2" t="str">
        <f>"32"</f>
        <v>32</v>
      </c>
      <c r="G1523" s="2" t="str">
        <f t="shared" si="319"/>
        <v>E78660</v>
      </c>
      <c r="H1523" s="2" t="str">
        <f t="shared" si="320"/>
        <v>가톨릭대학교 서울성모병원</v>
      </c>
      <c r="I1523" s="2" t="str">
        <f t="shared" si="329"/>
        <v>배치전</v>
      </c>
    </row>
    <row r="1524" spans="1:9" x14ac:dyDescent="0.3">
      <c r="A1524" s="2" t="str">
        <f t="shared" si="328"/>
        <v>20250924</v>
      </c>
      <c r="B1524" s="2" t="str">
        <f>"41321991"</f>
        <v>41321991</v>
      </c>
      <c r="C1524" s="2" t="str">
        <f>"조유진"</f>
        <v>조유진</v>
      </c>
      <c r="D1524" s="2" t="str">
        <f>"F"</f>
        <v>F</v>
      </c>
      <c r="E1524" s="2" t="str">
        <f>"20010105"</f>
        <v>20010105</v>
      </c>
      <c r="F1524" s="2" t="str">
        <f>"24"</f>
        <v>24</v>
      </c>
      <c r="G1524" s="2" t="str">
        <f t="shared" si="319"/>
        <v>E78660</v>
      </c>
      <c r="H1524" s="2" t="str">
        <f t="shared" si="320"/>
        <v>가톨릭대학교 서울성모병원</v>
      </c>
      <c r="I1524" s="2" t="str">
        <f t="shared" si="329"/>
        <v>배치전</v>
      </c>
    </row>
    <row r="1525" spans="1:9" x14ac:dyDescent="0.3">
      <c r="A1525" s="2" t="str">
        <f t="shared" si="328"/>
        <v>20250924</v>
      </c>
      <c r="B1525" s="2" t="str">
        <f>"41383013"</f>
        <v>41383013</v>
      </c>
      <c r="C1525" s="2" t="str">
        <f>"염경규"</f>
        <v>염경규</v>
      </c>
      <c r="D1525" s="2" t="str">
        <f>"M"</f>
        <v>M</v>
      </c>
      <c r="E1525" s="2" t="str">
        <f>"19920518"</f>
        <v>19920518</v>
      </c>
      <c r="F1525" s="2" t="str">
        <f>"33"</f>
        <v>33</v>
      </c>
      <c r="G1525" s="2" t="str">
        <f t="shared" si="319"/>
        <v>E78660</v>
      </c>
      <c r="H1525" s="2" t="str">
        <f t="shared" si="320"/>
        <v>가톨릭대학교 서울성모병원</v>
      </c>
      <c r="I1525" s="2" t="str">
        <f t="shared" si="329"/>
        <v>배치전</v>
      </c>
    </row>
    <row r="1526" spans="1:9" x14ac:dyDescent="0.3">
      <c r="A1526" s="2" t="str">
        <f t="shared" si="328"/>
        <v>20250924</v>
      </c>
      <c r="B1526" s="2" t="str">
        <f>"8403950"</f>
        <v>8403950</v>
      </c>
      <c r="C1526" s="2" t="str">
        <f>"장수진"</f>
        <v>장수진</v>
      </c>
      <c r="D1526" s="2" t="str">
        <f>"F"</f>
        <v>F</v>
      </c>
      <c r="E1526" s="2" t="str">
        <f>"19721025"</f>
        <v>19721025</v>
      </c>
      <c r="F1526" s="2" t="str">
        <f>"52"</f>
        <v>52</v>
      </c>
      <c r="G1526" s="2" t="str">
        <f t="shared" si="319"/>
        <v>E78660</v>
      </c>
      <c r="H1526" s="2" t="str">
        <f t="shared" si="320"/>
        <v>가톨릭대학교 서울성모병원</v>
      </c>
      <c r="I1526" s="2" t="str">
        <f>"특수"</f>
        <v>특수</v>
      </c>
    </row>
    <row r="1527" spans="1:9" x14ac:dyDescent="0.3">
      <c r="A1527" s="2" t="str">
        <f t="shared" ref="A1527:A1536" si="330">"20250925"</f>
        <v>20250925</v>
      </c>
      <c r="B1527" s="2" t="str">
        <f>"18437657"</f>
        <v>18437657</v>
      </c>
      <c r="C1527" s="2" t="str">
        <f>"김선희"</f>
        <v>김선희</v>
      </c>
      <c r="D1527" s="2" t="str">
        <f>"F"</f>
        <v>F</v>
      </c>
      <c r="E1527" s="2" t="str">
        <f>"19850204"</f>
        <v>19850204</v>
      </c>
      <c r="F1527" s="2" t="str">
        <f>"40"</f>
        <v>40</v>
      </c>
      <c r="G1527" s="2" t="str">
        <f t="shared" si="319"/>
        <v>E78660</v>
      </c>
      <c r="H1527" s="2" t="str">
        <f t="shared" si="320"/>
        <v>가톨릭대학교 서울성모병원</v>
      </c>
      <c r="I1527" s="2" t="str">
        <f>"특수"</f>
        <v>특수</v>
      </c>
    </row>
    <row r="1528" spans="1:9" x14ac:dyDescent="0.3">
      <c r="A1528" s="2" t="str">
        <f t="shared" si="330"/>
        <v>20250925</v>
      </c>
      <c r="B1528" s="2" t="str">
        <f>"21094626"</f>
        <v>21094626</v>
      </c>
      <c r="C1528" s="2" t="str">
        <f>"정민희"</f>
        <v>정민희</v>
      </c>
      <c r="D1528" s="2" t="str">
        <f>"F"</f>
        <v>F</v>
      </c>
      <c r="E1528" s="2" t="str">
        <f>"19860513"</f>
        <v>19860513</v>
      </c>
      <c r="F1528" s="2" t="str">
        <f>"39"</f>
        <v>39</v>
      </c>
      <c r="G1528" s="2" t="str">
        <f t="shared" si="319"/>
        <v>E78660</v>
      </c>
      <c r="H1528" s="2" t="str">
        <f t="shared" si="320"/>
        <v>가톨릭대학교 서울성모병원</v>
      </c>
      <c r="I1528" s="2" t="str">
        <f>"특수"</f>
        <v>특수</v>
      </c>
    </row>
    <row r="1529" spans="1:9" x14ac:dyDescent="0.3">
      <c r="A1529" s="2" t="str">
        <f t="shared" si="330"/>
        <v>20250925</v>
      </c>
      <c r="B1529" s="2" t="str">
        <f>"29644006"</f>
        <v>29644006</v>
      </c>
      <c r="C1529" s="2" t="str">
        <f>"김세진"</f>
        <v>김세진</v>
      </c>
      <c r="D1529" s="2" t="str">
        <f>"F"</f>
        <v>F</v>
      </c>
      <c r="E1529" s="2" t="str">
        <f>"19940823"</f>
        <v>19940823</v>
      </c>
      <c r="F1529" s="2" t="str">
        <f>"31"</f>
        <v>31</v>
      </c>
      <c r="G1529" s="2" t="str">
        <f t="shared" si="319"/>
        <v>E78660</v>
      </c>
      <c r="H1529" s="2" t="str">
        <f t="shared" si="320"/>
        <v>가톨릭대학교 서울성모병원</v>
      </c>
      <c r="I1529" s="2" t="str">
        <f>"배치전"</f>
        <v>배치전</v>
      </c>
    </row>
    <row r="1530" spans="1:9" x14ac:dyDescent="0.3">
      <c r="A1530" s="2" t="str">
        <f t="shared" si="330"/>
        <v>20250925</v>
      </c>
      <c r="B1530" s="2" t="str">
        <f>"30794934"</f>
        <v>30794934</v>
      </c>
      <c r="C1530" s="2" t="str">
        <f>"김현우"</f>
        <v>김현우</v>
      </c>
      <c r="D1530" s="2" t="str">
        <f>"M"</f>
        <v>M</v>
      </c>
      <c r="E1530" s="2" t="str">
        <f>"19980827"</f>
        <v>19980827</v>
      </c>
      <c r="F1530" s="2" t="str">
        <f>"27"</f>
        <v>27</v>
      </c>
      <c r="G1530" s="2" t="str">
        <f t="shared" si="319"/>
        <v>E78660</v>
      </c>
      <c r="H1530" s="2" t="str">
        <f t="shared" si="320"/>
        <v>가톨릭대학교 서울성모병원</v>
      </c>
      <c r="I1530" s="2" t="str">
        <f>"특수"</f>
        <v>특수</v>
      </c>
    </row>
    <row r="1531" spans="1:9" x14ac:dyDescent="0.3">
      <c r="A1531" s="2" t="str">
        <f t="shared" si="330"/>
        <v>20250925</v>
      </c>
      <c r="B1531" s="2" t="str">
        <f>"30795493"</f>
        <v>30795493</v>
      </c>
      <c r="C1531" s="2" t="str">
        <f>"윤희수"</f>
        <v>윤희수</v>
      </c>
      <c r="D1531" s="2" t="str">
        <f>"F"</f>
        <v>F</v>
      </c>
      <c r="E1531" s="2" t="str">
        <f>"19981030"</f>
        <v>19981030</v>
      </c>
      <c r="F1531" s="2" t="str">
        <f>"26"</f>
        <v>26</v>
      </c>
      <c r="G1531" s="2" t="str">
        <f t="shared" si="319"/>
        <v>E78660</v>
      </c>
      <c r="H1531" s="2" t="str">
        <f t="shared" si="320"/>
        <v>가톨릭대학교 서울성모병원</v>
      </c>
      <c r="I1531" s="2" t="str">
        <f>"배치전"</f>
        <v>배치전</v>
      </c>
    </row>
    <row r="1532" spans="1:9" x14ac:dyDescent="0.3">
      <c r="A1532" s="2" t="str">
        <f t="shared" si="330"/>
        <v>20250925</v>
      </c>
      <c r="B1532" s="2" t="str">
        <f>"34293743"</f>
        <v>34293743</v>
      </c>
      <c r="C1532" s="2" t="str">
        <f>"신일섭"</f>
        <v>신일섭</v>
      </c>
      <c r="D1532" s="2" t="str">
        <f>"M"</f>
        <v>M</v>
      </c>
      <c r="E1532" s="2" t="str">
        <f>"19940826"</f>
        <v>19940826</v>
      </c>
      <c r="F1532" s="2" t="str">
        <f>"31"</f>
        <v>31</v>
      </c>
      <c r="G1532" s="2" t="str">
        <f t="shared" si="319"/>
        <v>E78660</v>
      </c>
      <c r="H1532" s="2" t="str">
        <f t="shared" si="320"/>
        <v>가톨릭대학교 서울성모병원</v>
      </c>
      <c r="I1532" s="2" t="str">
        <f t="shared" ref="I1532:I1537" si="331">"특수"</f>
        <v>특수</v>
      </c>
    </row>
    <row r="1533" spans="1:9" x14ac:dyDescent="0.3">
      <c r="A1533" s="2" t="str">
        <f t="shared" si="330"/>
        <v>20250925</v>
      </c>
      <c r="B1533" s="2" t="str">
        <f>"38312312"</f>
        <v>38312312</v>
      </c>
      <c r="C1533" s="2" t="str">
        <f>"김지인"</f>
        <v>김지인</v>
      </c>
      <c r="D1533" s="2" t="str">
        <f>"F"</f>
        <v>F</v>
      </c>
      <c r="E1533" s="2" t="str">
        <f>"20000415"</f>
        <v>20000415</v>
      </c>
      <c r="F1533" s="2" t="str">
        <f>"25"</f>
        <v>25</v>
      </c>
      <c r="G1533" s="2" t="str">
        <f t="shared" si="319"/>
        <v>E78660</v>
      </c>
      <c r="H1533" s="2" t="str">
        <f t="shared" si="320"/>
        <v>가톨릭대학교 서울성모병원</v>
      </c>
      <c r="I1533" s="2" t="str">
        <f t="shared" si="331"/>
        <v>특수</v>
      </c>
    </row>
    <row r="1534" spans="1:9" x14ac:dyDescent="0.3">
      <c r="A1534" s="2" t="str">
        <f t="shared" si="330"/>
        <v>20250925</v>
      </c>
      <c r="B1534" s="2" t="str">
        <f>"39245083"</f>
        <v>39245083</v>
      </c>
      <c r="C1534" s="2" t="str">
        <f>"남상혁"</f>
        <v>남상혁</v>
      </c>
      <c r="D1534" s="2" t="str">
        <f>"M"</f>
        <v>M</v>
      </c>
      <c r="E1534" s="2" t="str">
        <f>"19981029"</f>
        <v>19981029</v>
      </c>
      <c r="F1534" s="2" t="str">
        <f>"26"</f>
        <v>26</v>
      </c>
      <c r="G1534" s="2" t="str">
        <f t="shared" si="319"/>
        <v>E78660</v>
      </c>
      <c r="H1534" s="2" t="str">
        <f t="shared" si="320"/>
        <v>가톨릭대학교 서울성모병원</v>
      </c>
      <c r="I1534" s="2" t="str">
        <f t="shared" si="331"/>
        <v>특수</v>
      </c>
    </row>
    <row r="1535" spans="1:9" x14ac:dyDescent="0.3">
      <c r="A1535" s="2" t="str">
        <f t="shared" si="330"/>
        <v>20250925</v>
      </c>
      <c r="B1535" s="2" t="str">
        <f>"39508783"</f>
        <v>39508783</v>
      </c>
      <c r="C1535" s="2" t="str">
        <f>"김서현"</f>
        <v>김서현</v>
      </c>
      <c r="D1535" s="2" t="str">
        <f t="shared" ref="D1535:D1542" si="332">"F"</f>
        <v>F</v>
      </c>
      <c r="E1535" s="2" t="str">
        <f>"19981215"</f>
        <v>19981215</v>
      </c>
      <c r="F1535" s="2" t="str">
        <f>"26"</f>
        <v>26</v>
      </c>
      <c r="G1535" s="2" t="str">
        <f t="shared" si="319"/>
        <v>E78660</v>
      </c>
      <c r="H1535" s="2" t="str">
        <f t="shared" si="320"/>
        <v>가톨릭대학교 서울성모병원</v>
      </c>
      <c r="I1535" s="2" t="str">
        <f t="shared" si="331"/>
        <v>특수</v>
      </c>
    </row>
    <row r="1536" spans="1:9" x14ac:dyDescent="0.3">
      <c r="A1536" s="2" t="str">
        <f t="shared" si="330"/>
        <v>20250925</v>
      </c>
      <c r="B1536" s="2" t="str">
        <f>"7420900"</f>
        <v>7420900</v>
      </c>
      <c r="C1536" s="2" t="str">
        <f>"박수산나"</f>
        <v>박수산나</v>
      </c>
      <c r="D1536" s="2" t="str">
        <f t="shared" si="332"/>
        <v>F</v>
      </c>
      <c r="E1536" s="2" t="str">
        <f>"19711206"</f>
        <v>19711206</v>
      </c>
      <c r="F1536" s="2" t="str">
        <f>"53"</f>
        <v>53</v>
      </c>
      <c r="G1536" s="2" t="str">
        <f t="shared" si="319"/>
        <v>E78660</v>
      </c>
      <c r="H1536" s="2" t="str">
        <f t="shared" si="320"/>
        <v>가톨릭대학교 서울성모병원</v>
      </c>
      <c r="I1536" s="2" t="str">
        <f t="shared" si="331"/>
        <v>특수</v>
      </c>
    </row>
    <row r="1537" spans="1:9" x14ac:dyDescent="0.3">
      <c r="A1537" s="2" t="str">
        <f t="shared" ref="A1537:A1549" si="333">"20250929"</f>
        <v>20250929</v>
      </c>
      <c r="B1537" s="2" t="str">
        <f>"23676236"</f>
        <v>23676236</v>
      </c>
      <c r="C1537" s="2" t="str">
        <f>"박은지"</f>
        <v>박은지</v>
      </c>
      <c r="D1537" s="2" t="str">
        <f t="shared" si="332"/>
        <v>F</v>
      </c>
      <c r="E1537" s="2" t="str">
        <f>"19910106"</f>
        <v>19910106</v>
      </c>
      <c r="F1537" s="2" t="str">
        <f>"34"</f>
        <v>34</v>
      </c>
      <c r="G1537" s="2" t="str">
        <f t="shared" si="319"/>
        <v>E78660</v>
      </c>
      <c r="H1537" s="2" t="str">
        <f t="shared" si="320"/>
        <v>가톨릭대학교 서울성모병원</v>
      </c>
      <c r="I1537" s="2" t="str">
        <f t="shared" si="331"/>
        <v>특수</v>
      </c>
    </row>
    <row r="1538" spans="1:9" x14ac:dyDescent="0.3">
      <c r="A1538" s="2" t="str">
        <f t="shared" si="333"/>
        <v>20250929</v>
      </c>
      <c r="B1538" s="2" t="str">
        <f>"26005112"</f>
        <v>26005112</v>
      </c>
      <c r="C1538" s="2" t="str">
        <f>"원지선"</f>
        <v>원지선</v>
      </c>
      <c r="D1538" s="2" t="str">
        <f t="shared" si="332"/>
        <v>F</v>
      </c>
      <c r="E1538" s="2" t="str">
        <f>"19860731"</f>
        <v>19860731</v>
      </c>
      <c r="F1538" s="2" t="str">
        <f>"39"</f>
        <v>39</v>
      </c>
      <c r="G1538" s="2" t="str">
        <f t="shared" si="319"/>
        <v>E78660</v>
      </c>
      <c r="H1538" s="2" t="str">
        <f t="shared" si="320"/>
        <v>가톨릭대학교 서울성모병원</v>
      </c>
      <c r="I1538" s="2" t="str">
        <f>"배치전"</f>
        <v>배치전</v>
      </c>
    </row>
    <row r="1539" spans="1:9" x14ac:dyDescent="0.3">
      <c r="A1539" s="2" t="str">
        <f t="shared" si="333"/>
        <v>20250929</v>
      </c>
      <c r="B1539" s="2" t="str">
        <f>"29204321"</f>
        <v>29204321</v>
      </c>
      <c r="C1539" s="2" t="str">
        <f>"엄지원"</f>
        <v>엄지원</v>
      </c>
      <c r="D1539" s="2" t="str">
        <f t="shared" si="332"/>
        <v>F</v>
      </c>
      <c r="E1539" s="2" t="str">
        <f>"19910618"</f>
        <v>19910618</v>
      </c>
      <c r="F1539" s="2" t="str">
        <f>"34"</f>
        <v>34</v>
      </c>
      <c r="G1539" s="2" t="str">
        <f t="shared" si="319"/>
        <v>E78660</v>
      </c>
      <c r="H1539" s="2" t="str">
        <f t="shared" si="320"/>
        <v>가톨릭대학교 서울성모병원</v>
      </c>
      <c r="I1539" s="2" t="str">
        <f>"특수"</f>
        <v>특수</v>
      </c>
    </row>
    <row r="1540" spans="1:9" x14ac:dyDescent="0.3">
      <c r="A1540" s="2" t="str">
        <f t="shared" si="333"/>
        <v>20250929</v>
      </c>
      <c r="B1540" s="2" t="str">
        <f>"30748694"</f>
        <v>30748694</v>
      </c>
      <c r="C1540" s="2" t="str">
        <f>"사예지"</f>
        <v>사예지</v>
      </c>
      <c r="D1540" s="2" t="str">
        <f t="shared" si="332"/>
        <v>F</v>
      </c>
      <c r="E1540" s="2" t="str">
        <f>"19910930"</f>
        <v>19910930</v>
      </c>
      <c r="F1540" s="2" t="str">
        <f>"34"</f>
        <v>34</v>
      </c>
      <c r="G1540" s="2" t="str">
        <f t="shared" si="319"/>
        <v>E78660</v>
      </c>
      <c r="H1540" s="2" t="str">
        <f t="shared" si="320"/>
        <v>가톨릭대학교 서울성모병원</v>
      </c>
      <c r="I1540" s="2" t="str">
        <f>"배치후"</f>
        <v>배치후</v>
      </c>
    </row>
    <row r="1541" spans="1:9" x14ac:dyDescent="0.3">
      <c r="A1541" s="2" t="str">
        <f t="shared" si="333"/>
        <v>20250929</v>
      </c>
      <c r="B1541" s="2" t="str">
        <f>"30794875"</f>
        <v>30794875</v>
      </c>
      <c r="C1541" s="2" t="str">
        <f>"김지수"</f>
        <v>김지수</v>
      </c>
      <c r="D1541" s="2" t="str">
        <f t="shared" si="332"/>
        <v>F</v>
      </c>
      <c r="E1541" s="2" t="str">
        <f>"19971014"</f>
        <v>19971014</v>
      </c>
      <c r="F1541" s="2" t="str">
        <f>"27"</f>
        <v>27</v>
      </c>
      <c r="G1541" s="2" t="str">
        <f t="shared" ref="G1541:G1604" si="334">"E78660"</f>
        <v>E78660</v>
      </c>
      <c r="H1541" s="2" t="str">
        <f t="shared" ref="H1541:H1604" si="335">"가톨릭대학교 서울성모병원"</f>
        <v>가톨릭대학교 서울성모병원</v>
      </c>
      <c r="I1541" s="2" t="str">
        <f>"배치전"</f>
        <v>배치전</v>
      </c>
    </row>
    <row r="1542" spans="1:9" x14ac:dyDescent="0.3">
      <c r="A1542" s="2" t="str">
        <f t="shared" si="333"/>
        <v>20250929</v>
      </c>
      <c r="B1542" s="2" t="str">
        <f>"30795442"</f>
        <v>30795442</v>
      </c>
      <c r="C1542" s="2" t="str">
        <f>"유정균"</f>
        <v>유정균</v>
      </c>
      <c r="D1542" s="2" t="str">
        <f t="shared" si="332"/>
        <v>F</v>
      </c>
      <c r="E1542" s="2" t="str">
        <f>"19981211"</f>
        <v>19981211</v>
      </c>
      <c r="F1542" s="2" t="str">
        <f>"26"</f>
        <v>26</v>
      </c>
      <c r="G1542" s="2" t="str">
        <f t="shared" si="334"/>
        <v>E78660</v>
      </c>
      <c r="H1542" s="2" t="str">
        <f t="shared" si="335"/>
        <v>가톨릭대학교 서울성모병원</v>
      </c>
      <c r="I1542" s="2" t="str">
        <f>"특수"</f>
        <v>특수</v>
      </c>
    </row>
    <row r="1543" spans="1:9" x14ac:dyDescent="0.3">
      <c r="A1543" s="2" t="str">
        <f t="shared" si="333"/>
        <v>20250929</v>
      </c>
      <c r="B1543" s="2" t="str">
        <f>"32550494"</f>
        <v>32550494</v>
      </c>
      <c r="C1543" s="2" t="str">
        <f>"탁승홍"</f>
        <v>탁승홍</v>
      </c>
      <c r="D1543" s="2" t="str">
        <f>"M"</f>
        <v>M</v>
      </c>
      <c r="E1543" s="2" t="str">
        <f>"19920421"</f>
        <v>19920421</v>
      </c>
      <c r="F1543" s="2" t="str">
        <f>"33"</f>
        <v>33</v>
      </c>
      <c r="G1543" s="2" t="str">
        <f t="shared" si="334"/>
        <v>E78660</v>
      </c>
      <c r="H1543" s="2" t="str">
        <f t="shared" si="335"/>
        <v>가톨릭대학교 서울성모병원</v>
      </c>
      <c r="I1543" s="2" t="str">
        <f>"특수"</f>
        <v>특수</v>
      </c>
    </row>
    <row r="1544" spans="1:9" x14ac:dyDescent="0.3">
      <c r="A1544" s="2" t="str">
        <f t="shared" si="333"/>
        <v>20250929</v>
      </c>
      <c r="B1544" s="2" t="str">
        <f>"35241643"</f>
        <v>35241643</v>
      </c>
      <c r="C1544" s="2" t="str">
        <f>"이민우"</f>
        <v>이민우</v>
      </c>
      <c r="D1544" s="2" t="str">
        <f>"M"</f>
        <v>M</v>
      </c>
      <c r="E1544" s="2" t="str">
        <f>"19940125"</f>
        <v>19940125</v>
      </c>
      <c r="F1544" s="2" t="str">
        <f>"31"</f>
        <v>31</v>
      </c>
      <c r="G1544" s="2" t="str">
        <f t="shared" si="334"/>
        <v>E78660</v>
      </c>
      <c r="H1544" s="2" t="str">
        <f t="shared" si="335"/>
        <v>가톨릭대학교 서울성모병원</v>
      </c>
      <c r="I1544" s="2" t="str">
        <f>"배치전"</f>
        <v>배치전</v>
      </c>
    </row>
    <row r="1545" spans="1:9" x14ac:dyDescent="0.3">
      <c r="A1545" s="2" t="str">
        <f t="shared" si="333"/>
        <v>20250929</v>
      </c>
      <c r="B1545" s="2" t="str">
        <f>"37056170"</f>
        <v>37056170</v>
      </c>
      <c r="C1545" s="2" t="str">
        <f>"김지우"</f>
        <v>김지우</v>
      </c>
      <c r="D1545" s="2" t="str">
        <f t="shared" ref="D1545:D1552" si="336">"F"</f>
        <v>F</v>
      </c>
      <c r="E1545" s="2" t="str">
        <f>"19970928"</f>
        <v>19970928</v>
      </c>
      <c r="F1545" s="2" t="str">
        <f>"28"</f>
        <v>28</v>
      </c>
      <c r="G1545" s="2" t="str">
        <f t="shared" si="334"/>
        <v>E78660</v>
      </c>
      <c r="H1545" s="2" t="str">
        <f t="shared" si="335"/>
        <v>가톨릭대학교 서울성모병원</v>
      </c>
      <c r="I1545" s="2" t="str">
        <f>"배치전"</f>
        <v>배치전</v>
      </c>
    </row>
    <row r="1546" spans="1:9" x14ac:dyDescent="0.3">
      <c r="A1546" s="2" t="str">
        <f t="shared" si="333"/>
        <v>20250929</v>
      </c>
      <c r="B1546" s="2" t="str">
        <f>"40722510"</f>
        <v>40722510</v>
      </c>
      <c r="C1546" s="2" t="str">
        <f>"진수민"</f>
        <v>진수민</v>
      </c>
      <c r="D1546" s="2" t="str">
        <f t="shared" si="336"/>
        <v>F</v>
      </c>
      <c r="E1546" s="2" t="str">
        <f>"19980114"</f>
        <v>19980114</v>
      </c>
      <c r="F1546" s="2" t="str">
        <f>"27"</f>
        <v>27</v>
      </c>
      <c r="G1546" s="2" t="str">
        <f t="shared" si="334"/>
        <v>E78660</v>
      </c>
      <c r="H1546" s="2" t="str">
        <f t="shared" si="335"/>
        <v>가톨릭대학교 서울성모병원</v>
      </c>
      <c r="I1546" s="2" t="str">
        <f>"배치전"</f>
        <v>배치전</v>
      </c>
    </row>
    <row r="1547" spans="1:9" x14ac:dyDescent="0.3">
      <c r="A1547" s="2" t="str">
        <f t="shared" si="333"/>
        <v>20250929</v>
      </c>
      <c r="B1547" s="2" t="str">
        <f>"40742504"</f>
        <v>40742504</v>
      </c>
      <c r="C1547" s="2" t="str">
        <f>"박태은"</f>
        <v>박태은</v>
      </c>
      <c r="D1547" s="2" t="str">
        <f t="shared" si="336"/>
        <v>F</v>
      </c>
      <c r="E1547" s="2" t="str">
        <f>"19991003"</f>
        <v>19991003</v>
      </c>
      <c r="F1547" s="2" t="str">
        <f>"26"</f>
        <v>26</v>
      </c>
      <c r="G1547" s="2" t="str">
        <f t="shared" si="334"/>
        <v>E78660</v>
      </c>
      <c r="H1547" s="2" t="str">
        <f t="shared" si="335"/>
        <v>가톨릭대학교 서울성모병원</v>
      </c>
      <c r="I1547" s="2" t="str">
        <f>"배치후"</f>
        <v>배치후</v>
      </c>
    </row>
    <row r="1548" spans="1:9" x14ac:dyDescent="0.3">
      <c r="A1548" s="2" t="str">
        <f t="shared" si="333"/>
        <v>20250929</v>
      </c>
      <c r="B1548" s="2" t="str">
        <f>"40753286"</f>
        <v>40753286</v>
      </c>
      <c r="C1548" s="2" t="str">
        <f>"정현옥"</f>
        <v>정현옥</v>
      </c>
      <c r="D1548" s="2" t="str">
        <f t="shared" si="336"/>
        <v>F</v>
      </c>
      <c r="E1548" s="2" t="str">
        <f>"20000201"</f>
        <v>20000201</v>
      </c>
      <c r="F1548" s="2" t="str">
        <f>"25"</f>
        <v>25</v>
      </c>
      <c r="G1548" s="2" t="str">
        <f t="shared" si="334"/>
        <v>E78660</v>
      </c>
      <c r="H1548" s="2" t="str">
        <f t="shared" si="335"/>
        <v>가톨릭대학교 서울성모병원</v>
      </c>
      <c r="I1548" s="2" t="str">
        <f>"배치후"</f>
        <v>배치후</v>
      </c>
    </row>
    <row r="1549" spans="1:9" x14ac:dyDescent="0.3">
      <c r="A1549" s="2" t="str">
        <f t="shared" si="333"/>
        <v>20250929</v>
      </c>
      <c r="B1549" s="2" t="str">
        <f>"40763314"</f>
        <v>40763314</v>
      </c>
      <c r="C1549" s="2" t="str">
        <f>"김효진"</f>
        <v>김효진</v>
      </c>
      <c r="D1549" s="2" t="str">
        <f t="shared" si="336"/>
        <v>F</v>
      </c>
      <c r="E1549" s="2" t="str">
        <f>"19990915"</f>
        <v>19990915</v>
      </c>
      <c r="F1549" s="2" t="str">
        <f>"26"</f>
        <v>26</v>
      </c>
      <c r="G1549" s="2" t="str">
        <f t="shared" si="334"/>
        <v>E78660</v>
      </c>
      <c r="H1549" s="2" t="str">
        <f t="shared" si="335"/>
        <v>가톨릭대학교 서울성모병원</v>
      </c>
      <c r="I1549" s="2" t="str">
        <f>"배치후"</f>
        <v>배치후</v>
      </c>
    </row>
    <row r="1550" spans="1:9" x14ac:dyDescent="0.3">
      <c r="A1550" s="2" t="str">
        <f t="shared" ref="A1550:A1560" si="337">"20250930"</f>
        <v>20250930</v>
      </c>
      <c r="B1550" s="2" t="str">
        <f>"15881448"</f>
        <v>15881448</v>
      </c>
      <c r="C1550" s="2" t="str">
        <f>"김정은"</f>
        <v>김정은</v>
      </c>
      <c r="D1550" s="2" t="str">
        <f t="shared" si="336"/>
        <v>F</v>
      </c>
      <c r="E1550" s="2" t="str">
        <f>"19760828"</f>
        <v>19760828</v>
      </c>
      <c r="F1550" s="2" t="str">
        <f>"49"</f>
        <v>49</v>
      </c>
      <c r="G1550" s="2" t="str">
        <f t="shared" si="334"/>
        <v>E78660</v>
      </c>
      <c r="H1550" s="2" t="str">
        <f t="shared" si="335"/>
        <v>가톨릭대학교 서울성모병원</v>
      </c>
      <c r="I1550" s="2" t="str">
        <f>"특수"</f>
        <v>특수</v>
      </c>
    </row>
    <row r="1551" spans="1:9" x14ac:dyDescent="0.3">
      <c r="A1551" s="2" t="str">
        <f t="shared" si="337"/>
        <v>20250930</v>
      </c>
      <c r="B1551" s="2" t="str">
        <f>"18697647"</f>
        <v>18697647</v>
      </c>
      <c r="C1551" s="2" t="str">
        <f>"이민정"</f>
        <v>이민정</v>
      </c>
      <c r="D1551" s="2" t="str">
        <f t="shared" si="336"/>
        <v>F</v>
      </c>
      <c r="E1551" s="2" t="str">
        <f>"19850726"</f>
        <v>19850726</v>
      </c>
      <c r="F1551" s="2" t="str">
        <f>"40"</f>
        <v>40</v>
      </c>
      <c r="G1551" s="2" t="str">
        <f t="shared" si="334"/>
        <v>E78660</v>
      </c>
      <c r="H1551" s="2" t="str">
        <f t="shared" si="335"/>
        <v>가톨릭대학교 서울성모병원</v>
      </c>
      <c r="I1551" s="2" t="str">
        <f>"특수"</f>
        <v>특수</v>
      </c>
    </row>
    <row r="1552" spans="1:9" x14ac:dyDescent="0.3">
      <c r="A1552" s="2" t="str">
        <f t="shared" si="337"/>
        <v>20250930</v>
      </c>
      <c r="B1552" s="2" t="str">
        <f>"25022302"</f>
        <v>25022302</v>
      </c>
      <c r="C1552" s="2" t="str">
        <f>"이정원"</f>
        <v>이정원</v>
      </c>
      <c r="D1552" s="2" t="str">
        <f t="shared" si="336"/>
        <v>F</v>
      </c>
      <c r="E1552" s="2" t="str">
        <f>"19920614"</f>
        <v>19920614</v>
      </c>
      <c r="F1552" s="2" t="str">
        <f>"33"</f>
        <v>33</v>
      </c>
      <c r="G1552" s="2" t="str">
        <f t="shared" si="334"/>
        <v>E78660</v>
      </c>
      <c r="H1552" s="2" t="str">
        <f t="shared" si="335"/>
        <v>가톨릭대학교 서울성모병원</v>
      </c>
      <c r="I1552" s="2" t="str">
        <f>"특수"</f>
        <v>특수</v>
      </c>
    </row>
    <row r="1553" spans="1:9" x14ac:dyDescent="0.3">
      <c r="A1553" s="2" t="str">
        <f t="shared" si="337"/>
        <v>20250930</v>
      </c>
      <c r="B1553" s="2" t="str">
        <f>"28411672"</f>
        <v>28411672</v>
      </c>
      <c r="C1553" s="2" t="str">
        <f>"이정철"</f>
        <v>이정철</v>
      </c>
      <c r="D1553" s="2" t="str">
        <f>"M"</f>
        <v>M</v>
      </c>
      <c r="E1553" s="2" t="str">
        <f>"19890611"</f>
        <v>19890611</v>
      </c>
      <c r="F1553" s="2" t="str">
        <f>"36"</f>
        <v>36</v>
      </c>
      <c r="G1553" s="2" t="str">
        <f t="shared" si="334"/>
        <v>E78660</v>
      </c>
      <c r="H1553" s="2" t="str">
        <f t="shared" si="335"/>
        <v>가톨릭대학교 서울성모병원</v>
      </c>
      <c r="I1553" s="2" t="str">
        <f>"특수"</f>
        <v>특수</v>
      </c>
    </row>
    <row r="1554" spans="1:9" x14ac:dyDescent="0.3">
      <c r="A1554" s="2" t="str">
        <f t="shared" si="337"/>
        <v>20250930</v>
      </c>
      <c r="B1554" s="2" t="str">
        <f>"28553764"</f>
        <v>28553764</v>
      </c>
      <c r="C1554" s="2" t="str">
        <f>"신혜수"</f>
        <v>신혜수</v>
      </c>
      <c r="D1554" s="2" t="str">
        <f t="shared" ref="D1554:D1563" si="338">"F"</f>
        <v>F</v>
      </c>
      <c r="E1554" s="2" t="str">
        <f>"19951001"</f>
        <v>19951001</v>
      </c>
      <c r="F1554" s="2" t="str">
        <f>"30"</f>
        <v>30</v>
      </c>
      <c r="G1554" s="2" t="str">
        <f t="shared" si="334"/>
        <v>E78660</v>
      </c>
      <c r="H1554" s="2" t="str">
        <f t="shared" si="335"/>
        <v>가톨릭대학교 서울성모병원</v>
      </c>
      <c r="I1554" s="2" t="str">
        <f>"배치전"</f>
        <v>배치전</v>
      </c>
    </row>
    <row r="1555" spans="1:9" x14ac:dyDescent="0.3">
      <c r="A1555" s="2" t="str">
        <f t="shared" si="337"/>
        <v>20250930</v>
      </c>
      <c r="B1555" s="2" t="str">
        <f>"29641971"</f>
        <v>29641971</v>
      </c>
      <c r="C1555" s="2" t="str">
        <f>"백지은"</f>
        <v>백지은</v>
      </c>
      <c r="D1555" s="2" t="str">
        <f t="shared" si="338"/>
        <v>F</v>
      </c>
      <c r="E1555" s="2" t="str">
        <f>"19960509"</f>
        <v>19960509</v>
      </c>
      <c r="F1555" s="2" t="str">
        <f>"29"</f>
        <v>29</v>
      </c>
      <c r="G1555" s="2" t="str">
        <f t="shared" si="334"/>
        <v>E78660</v>
      </c>
      <c r="H1555" s="2" t="str">
        <f t="shared" si="335"/>
        <v>가톨릭대학교 서울성모병원</v>
      </c>
      <c r="I1555" s="2" t="str">
        <f>"특수"</f>
        <v>특수</v>
      </c>
    </row>
    <row r="1556" spans="1:9" x14ac:dyDescent="0.3">
      <c r="A1556" s="2" t="str">
        <f t="shared" si="337"/>
        <v>20250930</v>
      </c>
      <c r="B1556" s="2" t="str">
        <f>"35757990"</f>
        <v>35757990</v>
      </c>
      <c r="C1556" s="2" t="str">
        <f>"류승아"</f>
        <v>류승아</v>
      </c>
      <c r="D1556" s="2" t="str">
        <f t="shared" si="338"/>
        <v>F</v>
      </c>
      <c r="E1556" s="2" t="str">
        <f>"19951117"</f>
        <v>19951117</v>
      </c>
      <c r="F1556" s="2" t="str">
        <f>"29"</f>
        <v>29</v>
      </c>
      <c r="G1556" s="2" t="str">
        <f t="shared" si="334"/>
        <v>E78660</v>
      </c>
      <c r="H1556" s="2" t="str">
        <f t="shared" si="335"/>
        <v>가톨릭대학교 서울성모병원</v>
      </c>
      <c r="I1556" s="2" t="str">
        <f>"배치전"</f>
        <v>배치전</v>
      </c>
    </row>
    <row r="1557" spans="1:9" x14ac:dyDescent="0.3">
      <c r="A1557" s="2" t="str">
        <f t="shared" si="337"/>
        <v>20250930</v>
      </c>
      <c r="B1557" s="2" t="str">
        <f>"37542452"</f>
        <v>37542452</v>
      </c>
      <c r="C1557" s="2" t="str">
        <f>"유하림"</f>
        <v>유하림</v>
      </c>
      <c r="D1557" s="2" t="str">
        <f t="shared" si="338"/>
        <v>F</v>
      </c>
      <c r="E1557" s="2" t="str">
        <f>"19980206"</f>
        <v>19980206</v>
      </c>
      <c r="F1557" s="2" t="str">
        <f>"27"</f>
        <v>27</v>
      </c>
      <c r="G1557" s="2" t="str">
        <f t="shared" si="334"/>
        <v>E78660</v>
      </c>
      <c r="H1557" s="2" t="str">
        <f t="shared" si="335"/>
        <v>가톨릭대학교 서울성모병원</v>
      </c>
      <c r="I1557" s="2" t="str">
        <f>"특수"</f>
        <v>특수</v>
      </c>
    </row>
    <row r="1558" spans="1:9" x14ac:dyDescent="0.3">
      <c r="A1558" s="2" t="str">
        <f t="shared" si="337"/>
        <v>20250930</v>
      </c>
      <c r="B1558" s="2" t="str">
        <f>"37542913"</f>
        <v>37542913</v>
      </c>
      <c r="C1558" s="2" t="str">
        <f>"안수아"</f>
        <v>안수아</v>
      </c>
      <c r="D1558" s="2" t="str">
        <f t="shared" si="338"/>
        <v>F</v>
      </c>
      <c r="E1558" s="2" t="str">
        <f>"20000208"</f>
        <v>20000208</v>
      </c>
      <c r="F1558" s="2" t="str">
        <f>"25"</f>
        <v>25</v>
      </c>
      <c r="G1558" s="2" t="str">
        <f t="shared" si="334"/>
        <v>E78660</v>
      </c>
      <c r="H1558" s="2" t="str">
        <f t="shared" si="335"/>
        <v>가톨릭대학교 서울성모병원</v>
      </c>
      <c r="I1558" s="2" t="str">
        <f>"특수"</f>
        <v>특수</v>
      </c>
    </row>
    <row r="1559" spans="1:9" x14ac:dyDescent="0.3">
      <c r="A1559" s="2" t="str">
        <f t="shared" si="337"/>
        <v>20250930</v>
      </c>
      <c r="B1559" s="2" t="str">
        <f>"41337592"</f>
        <v>41337592</v>
      </c>
      <c r="C1559" s="2" t="str">
        <f>"양혜민"</f>
        <v>양혜민</v>
      </c>
      <c r="D1559" s="2" t="str">
        <f t="shared" si="338"/>
        <v>F</v>
      </c>
      <c r="E1559" s="2" t="str">
        <f>"20020128"</f>
        <v>20020128</v>
      </c>
      <c r="F1559" s="2" t="str">
        <f>"23"</f>
        <v>23</v>
      </c>
      <c r="G1559" s="2" t="str">
        <f t="shared" si="334"/>
        <v>E78660</v>
      </c>
      <c r="H1559" s="2" t="str">
        <f t="shared" si="335"/>
        <v>가톨릭대학교 서울성모병원</v>
      </c>
      <c r="I1559" s="2" t="str">
        <f>"배치전"</f>
        <v>배치전</v>
      </c>
    </row>
    <row r="1560" spans="1:9" x14ac:dyDescent="0.3">
      <c r="A1560" s="2" t="str">
        <f t="shared" si="337"/>
        <v>20250930</v>
      </c>
      <c r="B1560" s="2" t="str">
        <f>"41374663"</f>
        <v>41374663</v>
      </c>
      <c r="C1560" s="2" t="str">
        <f>"최지연"</f>
        <v>최지연</v>
      </c>
      <c r="D1560" s="2" t="str">
        <f t="shared" si="338"/>
        <v>F</v>
      </c>
      <c r="E1560" s="2" t="str">
        <f>"19900329"</f>
        <v>19900329</v>
      </c>
      <c r="F1560" s="2" t="str">
        <f>"35"</f>
        <v>35</v>
      </c>
      <c r="G1560" s="2" t="str">
        <f t="shared" si="334"/>
        <v>E78660</v>
      </c>
      <c r="H1560" s="2" t="str">
        <f t="shared" si="335"/>
        <v>가톨릭대학교 서울성모병원</v>
      </c>
      <c r="I1560" s="2" t="str">
        <f>"배치전"</f>
        <v>배치전</v>
      </c>
    </row>
    <row r="1561" spans="1:9" x14ac:dyDescent="0.3">
      <c r="A1561" s="2" t="str">
        <f t="shared" ref="A1561:A1572" si="339">"20251001"</f>
        <v>20251001</v>
      </c>
      <c r="B1561" s="2" t="str">
        <f>"19645485"</f>
        <v>19645485</v>
      </c>
      <c r="C1561" s="2" t="str">
        <f>"권선희"</f>
        <v>권선희</v>
      </c>
      <c r="D1561" s="2" t="str">
        <f t="shared" si="338"/>
        <v>F</v>
      </c>
      <c r="E1561" s="2" t="str">
        <f>"19860827"</f>
        <v>19860827</v>
      </c>
      <c r="F1561" s="2" t="str">
        <f>"39"</f>
        <v>39</v>
      </c>
      <c r="G1561" s="2" t="str">
        <f t="shared" si="334"/>
        <v>E78660</v>
      </c>
      <c r="H1561" s="2" t="str">
        <f t="shared" si="335"/>
        <v>가톨릭대학교 서울성모병원</v>
      </c>
      <c r="I1561" s="2" t="str">
        <f>"특수"</f>
        <v>특수</v>
      </c>
    </row>
    <row r="1562" spans="1:9" x14ac:dyDescent="0.3">
      <c r="A1562" s="2" t="str">
        <f t="shared" si="339"/>
        <v>20251001</v>
      </c>
      <c r="B1562" s="2" t="str">
        <f>"21622666"</f>
        <v>21622666</v>
      </c>
      <c r="C1562" s="2" t="str">
        <f>"유단영"</f>
        <v>유단영</v>
      </c>
      <c r="D1562" s="2" t="str">
        <f t="shared" si="338"/>
        <v>F</v>
      </c>
      <c r="E1562" s="2" t="str">
        <f>"19801129"</f>
        <v>19801129</v>
      </c>
      <c r="F1562" s="2" t="str">
        <f>"44"</f>
        <v>44</v>
      </c>
      <c r="G1562" s="2" t="str">
        <f t="shared" si="334"/>
        <v>E78660</v>
      </c>
      <c r="H1562" s="2" t="str">
        <f t="shared" si="335"/>
        <v>가톨릭대학교 서울성모병원</v>
      </c>
      <c r="I1562" s="2" t="str">
        <f>"특수"</f>
        <v>특수</v>
      </c>
    </row>
    <row r="1563" spans="1:9" x14ac:dyDescent="0.3">
      <c r="A1563" s="2" t="str">
        <f t="shared" si="339"/>
        <v>20251001</v>
      </c>
      <c r="B1563" s="2" t="str">
        <f>"25037931"</f>
        <v>25037931</v>
      </c>
      <c r="C1563" s="2" t="str">
        <f>"조선미"</f>
        <v>조선미</v>
      </c>
      <c r="D1563" s="2" t="str">
        <f t="shared" si="338"/>
        <v>F</v>
      </c>
      <c r="E1563" s="2" t="str">
        <f>"19890812"</f>
        <v>19890812</v>
      </c>
      <c r="F1563" s="2" t="str">
        <f>"36"</f>
        <v>36</v>
      </c>
      <c r="G1563" s="2" t="str">
        <f t="shared" si="334"/>
        <v>E78660</v>
      </c>
      <c r="H1563" s="2" t="str">
        <f t="shared" si="335"/>
        <v>가톨릭대학교 서울성모병원</v>
      </c>
      <c r="I1563" s="2" t="str">
        <f>"특수"</f>
        <v>특수</v>
      </c>
    </row>
    <row r="1564" spans="1:9" x14ac:dyDescent="0.3">
      <c r="A1564" s="2" t="str">
        <f t="shared" si="339"/>
        <v>20251001</v>
      </c>
      <c r="B1564" s="2" t="str">
        <f>"29642932"</f>
        <v>29642932</v>
      </c>
      <c r="C1564" s="2" t="str">
        <f>"조현재"</f>
        <v>조현재</v>
      </c>
      <c r="D1564" s="2" t="str">
        <f>"M"</f>
        <v>M</v>
      </c>
      <c r="E1564" s="2" t="str">
        <f>"19961217"</f>
        <v>19961217</v>
      </c>
      <c r="F1564" s="2" t="str">
        <f>"28"</f>
        <v>28</v>
      </c>
      <c r="G1564" s="2" t="str">
        <f t="shared" si="334"/>
        <v>E78660</v>
      </c>
      <c r="H1564" s="2" t="str">
        <f t="shared" si="335"/>
        <v>가톨릭대학교 서울성모병원</v>
      </c>
      <c r="I1564" s="2" t="str">
        <f>"배치전"</f>
        <v>배치전</v>
      </c>
    </row>
    <row r="1565" spans="1:9" x14ac:dyDescent="0.3">
      <c r="A1565" s="2" t="str">
        <f t="shared" si="339"/>
        <v>20251001</v>
      </c>
      <c r="B1565" s="2" t="str">
        <f>"35237312"</f>
        <v>35237312</v>
      </c>
      <c r="C1565" s="2" t="str">
        <f>"김한울"</f>
        <v>김한울</v>
      </c>
      <c r="D1565" s="2" t="str">
        <f>"F"</f>
        <v>F</v>
      </c>
      <c r="E1565" s="2" t="str">
        <f>"19930829"</f>
        <v>19930829</v>
      </c>
      <c r="F1565" s="2" t="str">
        <f>"32"</f>
        <v>32</v>
      </c>
      <c r="G1565" s="2" t="str">
        <f t="shared" si="334"/>
        <v>E78660</v>
      </c>
      <c r="H1565" s="2" t="str">
        <f t="shared" si="335"/>
        <v>가톨릭대학교 서울성모병원</v>
      </c>
      <c r="I1565" s="2" t="str">
        <f>"배치전"</f>
        <v>배치전</v>
      </c>
    </row>
    <row r="1566" spans="1:9" x14ac:dyDescent="0.3">
      <c r="A1566" s="2" t="str">
        <f t="shared" si="339"/>
        <v>20251001</v>
      </c>
      <c r="B1566" s="2" t="str">
        <f>"37094974"</f>
        <v>37094974</v>
      </c>
      <c r="C1566" s="2" t="str">
        <f>"김지우"</f>
        <v>김지우</v>
      </c>
      <c r="D1566" s="2" t="str">
        <f>"F"</f>
        <v>F</v>
      </c>
      <c r="E1566" s="2" t="str">
        <f>"20000118"</f>
        <v>20000118</v>
      </c>
      <c r="F1566" s="2" t="str">
        <f>"25"</f>
        <v>25</v>
      </c>
      <c r="G1566" s="2" t="str">
        <f t="shared" si="334"/>
        <v>E78660</v>
      </c>
      <c r="H1566" s="2" t="str">
        <f t="shared" si="335"/>
        <v>가톨릭대학교 서울성모병원</v>
      </c>
      <c r="I1566" s="2" t="str">
        <f>"특수"</f>
        <v>특수</v>
      </c>
    </row>
    <row r="1567" spans="1:9" x14ac:dyDescent="0.3">
      <c r="A1567" s="2" t="str">
        <f t="shared" si="339"/>
        <v>20251001</v>
      </c>
      <c r="B1567" s="2" t="str">
        <f>"37542882"</f>
        <v>37542882</v>
      </c>
      <c r="C1567" s="2" t="str">
        <f>"정수민"</f>
        <v>정수민</v>
      </c>
      <c r="D1567" s="2" t="str">
        <f>"F"</f>
        <v>F</v>
      </c>
      <c r="E1567" s="2" t="str">
        <f>"19970531"</f>
        <v>19970531</v>
      </c>
      <c r="F1567" s="2" t="str">
        <f>"28"</f>
        <v>28</v>
      </c>
      <c r="G1567" s="2" t="str">
        <f t="shared" si="334"/>
        <v>E78660</v>
      </c>
      <c r="H1567" s="2" t="str">
        <f t="shared" si="335"/>
        <v>가톨릭대학교 서울성모병원</v>
      </c>
      <c r="I1567" s="2" t="str">
        <f>"특수"</f>
        <v>특수</v>
      </c>
    </row>
    <row r="1568" spans="1:9" x14ac:dyDescent="0.3">
      <c r="A1568" s="2" t="str">
        <f t="shared" si="339"/>
        <v>20251001</v>
      </c>
      <c r="B1568" s="2" t="str">
        <f>"40223341"</f>
        <v>40223341</v>
      </c>
      <c r="C1568" s="2" t="str">
        <f>"이혜경"</f>
        <v>이혜경</v>
      </c>
      <c r="D1568" s="2" t="str">
        <f>"F"</f>
        <v>F</v>
      </c>
      <c r="E1568" s="2" t="str">
        <f>"19671207"</f>
        <v>19671207</v>
      </c>
      <c r="F1568" s="2" t="str">
        <f>"57"</f>
        <v>57</v>
      </c>
      <c r="G1568" s="2" t="str">
        <f t="shared" si="334"/>
        <v>E78660</v>
      </c>
      <c r="H1568" s="2" t="str">
        <f t="shared" si="335"/>
        <v>가톨릭대학교 서울성모병원</v>
      </c>
      <c r="I1568" s="2" t="str">
        <f>"배치후"</f>
        <v>배치후</v>
      </c>
    </row>
    <row r="1569" spans="1:9" x14ac:dyDescent="0.3">
      <c r="A1569" s="2" t="str">
        <f t="shared" si="339"/>
        <v>20251001</v>
      </c>
      <c r="B1569" s="2" t="str">
        <f>"40589386"</f>
        <v>40589386</v>
      </c>
      <c r="C1569" s="2" t="str">
        <f>"유승원"</f>
        <v>유승원</v>
      </c>
      <c r="D1569" s="2" t="str">
        <f>"M"</f>
        <v>M</v>
      </c>
      <c r="E1569" s="2" t="str">
        <f>"20000130"</f>
        <v>20000130</v>
      </c>
      <c r="F1569" s="2" t="str">
        <f>"25"</f>
        <v>25</v>
      </c>
      <c r="G1569" s="2" t="str">
        <f t="shared" si="334"/>
        <v>E78660</v>
      </c>
      <c r="H1569" s="2" t="str">
        <f t="shared" si="335"/>
        <v>가톨릭대학교 서울성모병원</v>
      </c>
      <c r="I1569" s="2" t="str">
        <f>"배치후"</f>
        <v>배치후</v>
      </c>
    </row>
    <row r="1570" spans="1:9" x14ac:dyDescent="0.3">
      <c r="A1570" s="2" t="str">
        <f t="shared" si="339"/>
        <v>20251001</v>
      </c>
      <c r="B1570" s="2" t="str">
        <f>"40740953"</f>
        <v>40740953</v>
      </c>
      <c r="C1570" s="2" t="str">
        <f>"김준식"</f>
        <v>김준식</v>
      </c>
      <c r="D1570" s="2" t="str">
        <f>"M"</f>
        <v>M</v>
      </c>
      <c r="E1570" s="2" t="str">
        <f>"19951107"</f>
        <v>19951107</v>
      </c>
      <c r="F1570" s="2" t="str">
        <f>"29"</f>
        <v>29</v>
      </c>
      <c r="G1570" s="2" t="str">
        <f t="shared" si="334"/>
        <v>E78660</v>
      </c>
      <c r="H1570" s="2" t="str">
        <f t="shared" si="335"/>
        <v>가톨릭대학교 서울성모병원</v>
      </c>
      <c r="I1570" s="2" t="str">
        <f>"배치후"</f>
        <v>배치후</v>
      </c>
    </row>
    <row r="1571" spans="1:9" x14ac:dyDescent="0.3">
      <c r="A1571" s="2" t="str">
        <f t="shared" si="339"/>
        <v>20251001</v>
      </c>
      <c r="B1571" s="2" t="str">
        <f>"40784154"</f>
        <v>40784154</v>
      </c>
      <c r="C1571" s="2" t="str">
        <f>"안시현"</f>
        <v>안시현</v>
      </c>
      <c r="D1571" s="2" t="str">
        <f>"F"</f>
        <v>F</v>
      </c>
      <c r="E1571" s="2" t="str">
        <f>"20001202"</f>
        <v>20001202</v>
      </c>
      <c r="F1571" s="2" t="str">
        <f>"24"</f>
        <v>24</v>
      </c>
      <c r="G1571" s="2" t="str">
        <f t="shared" si="334"/>
        <v>E78660</v>
      </c>
      <c r="H1571" s="2" t="str">
        <f t="shared" si="335"/>
        <v>가톨릭대학교 서울성모병원</v>
      </c>
      <c r="I1571" s="2" t="str">
        <f>"배치후"</f>
        <v>배치후</v>
      </c>
    </row>
    <row r="1572" spans="1:9" x14ac:dyDescent="0.3">
      <c r="A1572" s="2" t="str">
        <f t="shared" si="339"/>
        <v>20251001</v>
      </c>
      <c r="B1572" s="2" t="str">
        <f>"4499836"</f>
        <v>4499836</v>
      </c>
      <c r="C1572" s="2" t="str">
        <f>"조제명"</f>
        <v>조제명</v>
      </c>
      <c r="D1572" s="2" t="str">
        <f>"M"</f>
        <v>M</v>
      </c>
      <c r="E1572" s="2" t="str">
        <f>"19870514"</f>
        <v>19870514</v>
      </c>
      <c r="F1572" s="2" t="str">
        <f>"38"</f>
        <v>38</v>
      </c>
      <c r="G1572" s="2" t="str">
        <f t="shared" si="334"/>
        <v>E78660</v>
      </c>
      <c r="H1572" s="2" t="str">
        <f t="shared" si="335"/>
        <v>가톨릭대학교 서울성모병원</v>
      </c>
      <c r="I1572" s="2" t="str">
        <f>"배치전"</f>
        <v>배치전</v>
      </c>
    </row>
    <row r="1573" spans="1:9" x14ac:dyDescent="0.3">
      <c r="A1573" s="2" t="str">
        <f>"20251002"</f>
        <v>20251002</v>
      </c>
      <c r="B1573" s="2" t="str">
        <f>"13014550"</f>
        <v>13014550</v>
      </c>
      <c r="C1573" s="2" t="str">
        <f>"김영일"</f>
        <v>김영일</v>
      </c>
      <c r="D1573" s="2" t="str">
        <f>"M"</f>
        <v>M</v>
      </c>
      <c r="E1573" s="2" t="str">
        <f>"19730124"</f>
        <v>19730124</v>
      </c>
      <c r="F1573" s="2" t="str">
        <f>"52"</f>
        <v>52</v>
      </c>
      <c r="G1573" s="2" t="str">
        <f t="shared" si="334"/>
        <v>E78660</v>
      </c>
      <c r="H1573" s="2" t="str">
        <f t="shared" si="335"/>
        <v>가톨릭대학교 서울성모병원</v>
      </c>
      <c r="I1573" s="2" t="str">
        <f t="shared" ref="I1573:I1579" si="340">"특수"</f>
        <v>특수</v>
      </c>
    </row>
    <row r="1574" spans="1:9" x14ac:dyDescent="0.3">
      <c r="A1574" s="2" t="str">
        <f>"20251002"</f>
        <v>20251002</v>
      </c>
      <c r="B1574" s="2" t="str">
        <f>"21502823"</f>
        <v>21502823</v>
      </c>
      <c r="C1574" s="2" t="str">
        <f>"정현영"</f>
        <v>정현영</v>
      </c>
      <c r="D1574" s="2" t="str">
        <f>"F"</f>
        <v>F</v>
      </c>
      <c r="E1574" s="2" t="str">
        <f>"19810709"</f>
        <v>19810709</v>
      </c>
      <c r="F1574" s="2" t="str">
        <f>"44"</f>
        <v>44</v>
      </c>
      <c r="G1574" s="2" t="str">
        <f t="shared" si="334"/>
        <v>E78660</v>
      </c>
      <c r="H1574" s="2" t="str">
        <f t="shared" si="335"/>
        <v>가톨릭대학교 서울성모병원</v>
      </c>
      <c r="I1574" s="2" t="str">
        <f t="shared" si="340"/>
        <v>특수</v>
      </c>
    </row>
    <row r="1575" spans="1:9" x14ac:dyDescent="0.3">
      <c r="A1575" s="2" t="str">
        <f>"20251002"</f>
        <v>20251002</v>
      </c>
      <c r="B1575" s="2" t="str">
        <f>"25553084"</f>
        <v>25553084</v>
      </c>
      <c r="C1575" s="2" t="str">
        <f>"윤미옥"</f>
        <v>윤미옥</v>
      </c>
      <c r="D1575" s="2" t="str">
        <f>"F"</f>
        <v>F</v>
      </c>
      <c r="E1575" s="2" t="str">
        <f>"19860607"</f>
        <v>19860607</v>
      </c>
      <c r="F1575" s="2" t="str">
        <f>"39"</f>
        <v>39</v>
      </c>
      <c r="G1575" s="2" t="str">
        <f t="shared" si="334"/>
        <v>E78660</v>
      </c>
      <c r="H1575" s="2" t="str">
        <f t="shared" si="335"/>
        <v>가톨릭대학교 서울성모병원</v>
      </c>
      <c r="I1575" s="2" t="str">
        <f t="shared" si="340"/>
        <v>특수</v>
      </c>
    </row>
    <row r="1576" spans="1:9" x14ac:dyDescent="0.3">
      <c r="A1576" s="2" t="str">
        <f>"20251002"</f>
        <v>20251002</v>
      </c>
      <c r="B1576" s="2" t="str">
        <f>"8061281"</f>
        <v>8061281</v>
      </c>
      <c r="C1576" s="2" t="str">
        <f>"이경철"</f>
        <v>이경철</v>
      </c>
      <c r="D1576" s="2" t="str">
        <f>"M"</f>
        <v>M</v>
      </c>
      <c r="E1576" s="2" t="str">
        <f>"19670315"</f>
        <v>19670315</v>
      </c>
      <c r="F1576" s="2" t="str">
        <f>"58"</f>
        <v>58</v>
      </c>
      <c r="G1576" s="2" t="str">
        <f t="shared" si="334"/>
        <v>E78660</v>
      </c>
      <c r="H1576" s="2" t="str">
        <f t="shared" si="335"/>
        <v>가톨릭대학교 서울성모병원</v>
      </c>
      <c r="I1576" s="2" t="str">
        <f t="shared" si="340"/>
        <v>특수</v>
      </c>
    </row>
    <row r="1577" spans="1:9" x14ac:dyDescent="0.3">
      <c r="A1577" s="2" t="str">
        <f>"20251002"</f>
        <v>20251002</v>
      </c>
      <c r="B1577" s="2" t="str">
        <f>"9741290"</f>
        <v>9741290</v>
      </c>
      <c r="C1577" s="2" t="str">
        <f>"김신덕"</f>
        <v>김신덕</v>
      </c>
      <c r="D1577" s="2" t="str">
        <f t="shared" ref="D1577:D1584" si="341">"F"</f>
        <v>F</v>
      </c>
      <c r="E1577" s="2" t="str">
        <f>"19720430"</f>
        <v>19720430</v>
      </c>
      <c r="F1577" s="2" t="str">
        <f>"53"</f>
        <v>53</v>
      </c>
      <c r="G1577" s="2" t="str">
        <f t="shared" si="334"/>
        <v>E78660</v>
      </c>
      <c r="H1577" s="2" t="str">
        <f t="shared" si="335"/>
        <v>가톨릭대학교 서울성모병원</v>
      </c>
      <c r="I1577" s="2" t="str">
        <f t="shared" si="340"/>
        <v>특수</v>
      </c>
    </row>
    <row r="1578" spans="1:9" x14ac:dyDescent="0.3">
      <c r="A1578" s="2" t="str">
        <f t="shared" ref="A1578:A1585" si="342">"20251013"</f>
        <v>20251013</v>
      </c>
      <c r="B1578" s="2" t="str">
        <f>"14189256"</f>
        <v>14189256</v>
      </c>
      <c r="C1578" s="2" t="str">
        <f>"탁예원"</f>
        <v>탁예원</v>
      </c>
      <c r="D1578" s="2" t="str">
        <f t="shared" si="341"/>
        <v>F</v>
      </c>
      <c r="E1578" s="2" t="str">
        <f>"19790120"</f>
        <v>19790120</v>
      </c>
      <c r="F1578" s="2" t="str">
        <f>"46"</f>
        <v>46</v>
      </c>
      <c r="G1578" s="2" t="str">
        <f t="shared" si="334"/>
        <v>E78660</v>
      </c>
      <c r="H1578" s="2" t="str">
        <f t="shared" si="335"/>
        <v>가톨릭대학교 서울성모병원</v>
      </c>
      <c r="I1578" s="2" t="str">
        <f t="shared" si="340"/>
        <v>특수</v>
      </c>
    </row>
    <row r="1579" spans="1:9" x14ac:dyDescent="0.3">
      <c r="A1579" s="2" t="str">
        <f t="shared" si="342"/>
        <v>20251013</v>
      </c>
      <c r="B1579" s="2" t="str">
        <f>"14996307"</f>
        <v>14996307</v>
      </c>
      <c r="C1579" s="2" t="str">
        <f>"최원진"</f>
        <v>최원진</v>
      </c>
      <c r="D1579" s="2" t="str">
        <f t="shared" si="341"/>
        <v>F</v>
      </c>
      <c r="E1579" s="2" t="str">
        <f>"19800617"</f>
        <v>19800617</v>
      </c>
      <c r="F1579" s="2" t="str">
        <f>"45"</f>
        <v>45</v>
      </c>
      <c r="G1579" s="2" t="str">
        <f t="shared" si="334"/>
        <v>E78660</v>
      </c>
      <c r="H1579" s="2" t="str">
        <f t="shared" si="335"/>
        <v>가톨릭대학교 서울성모병원</v>
      </c>
      <c r="I1579" s="2" t="str">
        <f t="shared" si="340"/>
        <v>특수</v>
      </c>
    </row>
    <row r="1580" spans="1:9" x14ac:dyDescent="0.3">
      <c r="A1580" s="2" t="str">
        <f t="shared" si="342"/>
        <v>20251013</v>
      </c>
      <c r="B1580" s="2" t="str">
        <f>"28553640"</f>
        <v>28553640</v>
      </c>
      <c r="C1580" s="2" t="str">
        <f>"오현주"</f>
        <v>오현주</v>
      </c>
      <c r="D1580" s="2" t="str">
        <f t="shared" si="341"/>
        <v>F</v>
      </c>
      <c r="E1580" s="2" t="str">
        <f>"19951122"</f>
        <v>19951122</v>
      </c>
      <c r="F1580" s="2" t="str">
        <f>"29"</f>
        <v>29</v>
      </c>
      <c r="G1580" s="2" t="str">
        <f t="shared" si="334"/>
        <v>E78660</v>
      </c>
      <c r="H1580" s="2" t="str">
        <f t="shared" si="335"/>
        <v>가톨릭대학교 서울성모병원</v>
      </c>
      <c r="I1580" s="2" t="str">
        <f>"배치전"</f>
        <v>배치전</v>
      </c>
    </row>
    <row r="1581" spans="1:9" x14ac:dyDescent="0.3">
      <c r="A1581" s="2" t="str">
        <f t="shared" si="342"/>
        <v>20251013</v>
      </c>
      <c r="B1581" s="2" t="str">
        <f>"32007473"</f>
        <v>32007473</v>
      </c>
      <c r="C1581" s="2" t="str">
        <f>"윤해인"</f>
        <v>윤해인</v>
      </c>
      <c r="D1581" s="2" t="str">
        <f t="shared" si="341"/>
        <v>F</v>
      </c>
      <c r="E1581" s="2" t="str">
        <f>"19981214"</f>
        <v>19981214</v>
      </c>
      <c r="F1581" s="2" t="str">
        <f>"26"</f>
        <v>26</v>
      </c>
      <c r="G1581" s="2" t="str">
        <f t="shared" si="334"/>
        <v>E78660</v>
      </c>
      <c r="H1581" s="2" t="str">
        <f t="shared" si="335"/>
        <v>가톨릭대학교 서울성모병원</v>
      </c>
      <c r="I1581" s="2" t="str">
        <f>"특수"</f>
        <v>특수</v>
      </c>
    </row>
    <row r="1582" spans="1:9" x14ac:dyDescent="0.3">
      <c r="A1582" s="2" t="str">
        <f t="shared" si="342"/>
        <v>20251013</v>
      </c>
      <c r="B1582" s="2" t="str">
        <f>"34293224"</f>
        <v>34293224</v>
      </c>
      <c r="C1582" s="2" t="str">
        <f>"이지은"</f>
        <v>이지은</v>
      </c>
      <c r="D1582" s="2" t="str">
        <f t="shared" si="341"/>
        <v>F</v>
      </c>
      <c r="E1582" s="2" t="str">
        <f>"19940620"</f>
        <v>19940620</v>
      </c>
      <c r="F1582" s="2" t="str">
        <f>"31"</f>
        <v>31</v>
      </c>
      <c r="G1582" s="2" t="str">
        <f t="shared" si="334"/>
        <v>E78660</v>
      </c>
      <c r="H1582" s="2" t="str">
        <f t="shared" si="335"/>
        <v>가톨릭대학교 서울성모병원</v>
      </c>
      <c r="I1582" s="2" t="str">
        <f>"특수"</f>
        <v>특수</v>
      </c>
    </row>
    <row r="1583" spans="1:9" x14ac:dyDescent="0.3">
      <c r="A1583" s="2" t="str">
        <f t="shared" si="342"/>
        <v>20251013</v>
      </c>
      <c r="B1583" s="2" t="str">
        <f>"34720056"</f>
        <v>34720056</v>
      </c>
      <c r="C1583" s="2" t="str">
        <f>"안은솔"</f>
        <v>안은솔</v>
      </c>
      <c r="D1583" s="2" t="str">
        <f t="shared" si="341"/>
        <v>F</v>
      </c>
      <c r="E1583" s="2" t="str">
        <f>"19921002"</f>
        <v>19921002</v>
      </c>
      <c r="F1583" s="2" t="str">
        <f>"33"</f>
        <v>33</v>
      </c>
      <c r="G1583" s="2" t="str">
        <f t="shared" si="334"/>
        <v>E78660</v>
      </c>
      <c r="H1583" s="2" t="str">
        <f t="shared" si="335"/>
        <v>가톨릭대학교 서울성모병원</v>
      </c>
      <c r="I1583" s="2" t="str">
        <f>"배치후"</f>
        <v>배치후</v>
      </c>
    </row>
    <row r="1584" spans="1:9" x14ac:dyDescent="0.3">
      <c r="A1584" s="2" t="str">
        <f t="shared" si="342"/>
        <v>20251013</v>
      </c>
      <c r="B1584" s="2" t="str">
        <f>"39416971"</f>
        <v>39416971</v>
      </c>
      <c r="C1584" s="2" t="str">
        <f>"이은정"</f>
        <v>이은정</v>
      </c>
      <c r="D1584" s="2" t="str">
        <f t="shared" si="341"/>
        <v>F</v>
      </c>
      <c r="E1584" s="2" t="str">
        <f>"20001218"</f>
        <v>20001218</v>
      </c>
      <c r="F1584" s="2" t="str">
        <f>"24"</f>
        <v>24</v>
      </c>
      <c r="G1584" s="2" t="str">
        <f t="shared" si="334"/>
        <v>E78660</v>
      </c>
      <c r="H1584" s="2" t="str">
        <f t="shared" si="335"/>
        <v>가톨릭대학교 서울성모병원</v>
      </c>
      <c r="I1584" s="2" t="str">
        <f>"특수"</f>
        <v>특수</v>
      </c>
    </row>
    <row r="1585" spans="1:9" x14ac:dyDescent="0.3">
      <c r="A1585" s="2" t="str">
        <f t="shared" si="342"/>
        <v>20251013</v>
      </c>
      <c r="B1585" s="2" t="str">
        <f>"40774070"</f>
        <v>40774070</v>
      </c>
      <c r="C1585" s="2" t="str">
        <f>"백상원"</f>
        <v>백상원</v>
      </c>
      <c r="D1585" s="2" t="str">
        <f>"M"</f>
        <v>M</v>
      </c>
      <c r="E1585" s="2" t="str">
        <f>"19940415"</f>
        <v>19940415</v>
      </c>
      <c r="F1585" s="2" t="str">
        <f>"31"</f>
        <v>31</v>
      </c>
      <c r="G1585" s="2" t="str">
        <f t="shared" si="334"/>
        <v>E78660</v>
      </c>
      <c r="H1585" s="2" t="str">
        <f t="shared" si="335"/>
        <v>가톨릭대학교 서울성모병원</v>
      </c>
      <c r="I1585" s="2" t="str">
        <f>"배치후"</f>
        <v>배치후</v>
      </c>
    </row>
    <row r="1586" spans="1:9" x14ac:dyDescent="0.3">
      <c r="A1586" s="2" t="str">
        <f t="shared" ref="A1586:A1593" si="343">"20251014"</f>
        <v>20251014</v>
      </c>
      <c r="B1586" s="2" t="str">
        <f>"19744320"</f>
        <v>19744320</v>
      </c>
      <c r="C1586" s="2" t="str">
        <f>"권오은"</f>
        <v>권오은</v>
      </c>
      <c r="D1586" s="2" t="str">
        <f>"F"</f>
        <v>F</v>
      </c>
      <c r="E1586" s="2" t="str">
        <f>"19840219"</f>
        <v>19840219</v>
      </c>
      <c r="F1586" s="2" t="str">
        <f>"41"</f>
        <v>41</v>
      </c>
      <c r="G1586" s="2" t="str">
        <f t="shared" si="334"/>
        <v>E78660</v>
      </c>
      <c r="H1586" s="2" t="str">
        <f t="shared" si="335"/>
        <v>가톨릭대학교 서울성모병원</v>
      </c>
      <c r="I1586" s="2" t="str">
        <f>"배치후"</f>
        <v>배치후</v>
      </c>
    </row>
    <row r="1587" spans="1:9" x14ac:dyDescent="0.3">
      <c r="A1587" s="2" t="str">
        <f t="shared" si="343"/>
        <v>20251014</v>
      </c>
      <c r="B1587" s="2" t="str">
        <f>"21378692"</f>
        <v>21378692</v>
      </c>
      <c r="C1587" s="2" t="str">
        <f>"오은주"</f>
        <v>오은주</v>
      </c>
      <c r="D1587" s="2" t="str">
        <f>"F"</f>
        <v>F</v>
      </c>
      <c r="E1587" s="2" t="str">
        <f>"19850707"</f>
        <v>19850707</v>
      </c>
      <c r="F1587" s="2" t="str">
        <f>"40"</f>
        <v>40</v>
      </c>
      <c r="G1587" s="2" t="str">
        <f t="shared" si="334"/>
        <v>E78660</v>
      </c>
      <c r="H1587" s="2" t="str">
        <f t="shared" si="335"/>
        <v>가톨릭대학교 서울성모병원</v>
      </c>
      <c r="I1587" s="2" t="str">
        <f>"특수"</f>
        <v>특수</v>
      </c>
    </row>
    <row r="1588" spans="1:9" x14ac:dyDescent="0.3">
      <c r="A1588" s="2" t="str">
        <f t="shared" si="343"/>
        <v>20251014</v>
      </c>
      <c r="B1588" s="2" t="str">
        <f>"24361474"</f>
        <v>24361474</v>
      </c>
      <c r="C1588" s="2" t="str">
        <f>"박성진"</f>
        <v>박성진</v>
      </c>
      <c r="D1588" s="2" t="str">
        <f>"M"</f>
        <v>M</v>
      </c>
      <c r="E1588" s="2" t="str">
        <f>"19821019"</f>
        <v>19821019</v>
      </c>
      <c r="F1588" s="2" t="str">
        <f>"43"</f>
        <v>43</v>
      </c>
      <c r="G1588" s="2" t="str">
        <f t="shared" si="334"/>
        <v>E78660</v>
      </c>
      <c r="H1588" s="2" t="str">
        <f t="shared" si="335"/>
        <v>가톨릭대학교 서울성모병원</v>
      </c>
      <c r="I1588" s="2" t="str">
        <f>"특수"</f>
        <v>특수</v>
      </c>
    </row>
    <row r="1589" spans="1:9" x14ac:dyDescent="0.3">
      <c r="A1589" s="2" t="str">
        <f t="shared" si="343"/>
        <v>20251014</v>
      </c>
      <c r="B1589" s="2" t="str">
        <f>"26276971"</f>
        <v>26276971</v>
      </c>
      <c r="C1589" s="2" t="str">
        <f>"정소영"</f>
        <v>정소영</v>
      </c>
      <c r="D1589" s="2" t="str">
        <f>"F"</f>
        <v>F</v>
      </c>
      <c r="E1589" s="2" t="str">
        <f>"19941013"</f>
        <v>19941013</v>
      </c>
      <c r="F1589" s="2" t="str">
        <f>"31"</f>
        <v>31</v>
      </c>
      <c r="G1589" s="2" t="str">
        <f t="shared" si="334"/>
        <v>E78660</v>
      </c>
      <c r="H1589" s="2" t="str">
        <f t="shared" si="335"/>
        <v>가톨릭대학교 서울성모병원</v>
      </c>
      <c r="I1589" s="2" t="str">
        <f>"특수"</f>
        <v>특수</v>
      </c>
    </row>
    <row r="1590" spans="1:9" x14ac:dyDescent="0.3">
      <c r="A1590" s="2" t="str">
        <f t="shared" si="343"/>
        <v>20251014</v>
      </c>
      <c r="B1590" s="2" t="str">
        <f>"32627911"</f>
        <v>32627911</v>
      </c>
      <c r="C1590" s="2" t="str">
        <f>"윤연주"</f>
        <v>윤연주</v>
      </c>
      <c r="D1590" s="2" t="str">
        <f>"F"</f>
        <v>F</v>
      </c>
      <c r="E1590" s="2" t="str">
        <f>"19951112"</f>
        <v>19951112</v>
      </c>
      <c r="F1590" s="2" t="str">
        <f>"29"</f>
        <v>29</v>
      </c>
      <c r="G1590" s="2" t="str">
        <f t="shared" si="334"/>
        <v>E78660</v>
      </c>
      <c r="H1590" s="2" t="str">
        <f t="shared" si="335"/>
        <v>가톨릭대학교 서울성모병원</v>
      </c>
      <c r="I1590" s="2" t="str">
        <f>"특수"</f>
        <v>특수</v>
      </c>
    </row>
    <row r="1591" spans="1:9" x14ac:dyDescent="0.3">
      <c r="A1591" s="2" t="str">
        <f t="shared" si="343"/>
        <v>20251014</v>
      </c>
      <c r="B1591" s="2" t="str">
        <f>"36184882"</f>
        <v>36184882</v>
      </c>
      <c r="C1591" s="2" t="str">
        <f>"김지현"</f>
        <v>김지현</v>
      </c>
      <c r="D1591" s="2" t="str">
        <f>"F"</f>
        <v>F</v>
      </c>
      <c r="E1591" s="2" t="str">
        <f>"19960204"</f>
        <v>19960204</v>
      </c>
      <c r="F1591" s="2" t="str">
        <f>"29"</f>
        <v>29</v>
      </c>
      <c r="G1591" s="2" t="str">
        <f t="shared" si="334"/>
        <v>E78660</v>
      </c>
      <c r="H1591" s="2" t="str">
        <f t="shared" si="335"/>
        <v>가톨릭대학교 서울성모병원</v>
      </c>
      <c r="I1591" s="2" t="str">
        <f>"배치후"</f>
        <v>배치후</v>
      </c>
    </row>
    <row r="1592" spans="1:9" x14ac:dyDescent="0.3">
      <c r="A1592" s="2" t="str">
        <f t="shared" si="343"/>
        <v>20251014</v>
      </c>
      <c r="B1592" s="2" t="str">
        <f>"37661404"</f>
        <v>37661404</v>
      </c>
      <c r="C1592" s="2" t="str">
        <f>"김서영"</f>
        <v>김서영</v>
      </c>
      <c r="D1592" s="2" t="str">
        <f>"F"</f>
        <v>F</v>
      </c>
      <c r="E1592" s="2" t="str">
        <f>"19990209"</f>
        <v>19990209</v>
      </c>
      <c r="F1592" s="2" t="str">
        <f>"26"</f>
        <v>26</v>
      </c>
      <c r="G1592" s="2" t="str">
        <f t="shared" si="334"/>
        <v>E78660</v>
      </c>
      <c r="H1592" s="2" t="str">
        <f t="shared" si="335"/>
        <v>가톨릭대학교 서울성모병원</v>
      </c>
      <c r="I1592" s="2" t="str">
        <f t="shared" ref="I1592:I1600" si="344">"특수"</f>
        <v>특수</v>
      </c>
    </row>
    <row r="1593" spans="1:9" x14ac:dyDescent="0.3">
      <c r="A1593" s="2" t="str">
        <f t="shared" si="343"/>
        <v>20251014</v>
      </c>
      <c r="B1593" s="2" t="str">
        <f>"38084705"</f>
        <v>38084705</v>
      </c>
      <c r="C1593" s="2" t="str">
        <f>"황지원"</f>
        <v>황지원</v>
      </c>
      <c r="D1593" s="2" t="str">
        <f>"F"</f>
        <v>F</v>
      </c>
      <c r="E1593" s="2" t="str">
        <f>"19960221"</f>
        <v>19960221</v>
      </c>
      <c r="F1593" s="2" t="str">
        <f>"29"</f>
        <v>29</v>
      </c>
      <c r="G1593" s="2" t="str">
        <f t="shared" si="334"/>
        <v>E78660</v>
      </c>
      <c r="H1593" s="2" t="str">
        <f t="shared" si="335"/>
        <v>가톨릭대학교 서울성모병원</v>
      </c>
      <c r="I1593" s="2" t="str">
        <f t="shared" si="344"/>
        <v>특수</v>
      </c>
    </row>
    <row r="1594" spans="1:9" x14ac:dyDescent="0.3">
      <c r="A1594" s="2" t="str">
        <f t="shared" ref="A1594:A1604" si="345">"20251015"</f>
        <v>20251015</v>
      </c>
      <c r="B1594" s="2" t="str">
        <f>"11928958"</f>
        <v>11928958</v>
      </c>
      <c r="C1594" s="2" t="str">
        <f>"문석현"</f>
        <v>문석현</v>
      </c>
      <c r="D1594" s="2" t="str">
        <f>"M"</f>
        <v>M</v>
      </c>
      <c r="E1594" s="2" t="str">
        <f>"19710214"</f>
        <v>19710214</v>
      </c>
      <c r="F1594" s="2" t="str">
        <f>"54"</f>
        <v>54</v>
      </c>
      <c r="G1594" s="2" t="str">
        <f t="shared" si="334"/>
        <v>E78660</v>
      </c>
      <c r="H1594" s="2" t="str">
        <f t="shared" si="335"/>
        <v>가톨릭대학교 서울성모병원</v>
      </c>
      <c r="I1594" s="2" t="str">
        <f t="shared" si="344"/>
        <v>특수</v>
      </c>
    </row>
    <row r="1595" spans="1:9" x14ac:dyDescent="0.3">
      <c r="A1595" s="2" t="str">
        <f t="shared" si="345"/>
        <v>20251015</v>
      </c>
      <c r="B1595" s="2" t="str">
        <f>"14731259"</f>
        <v>14731259</v>
      </c>
      <c r="C1595" s="2" t="str">
        <f>"정나연"</f>
        <v>정나연</v>
      </c>
      <c r="D1595" s="2" t="str">
        <f>"F"</f>
        <v>F</v>
      </c>
      <c r="E1595" s="2" t="str">
        <f>"19790815"</f>
        <v>19790815</v>
      </c>
      <c r="F1595" s="2" t="str">
        <f>"46"</f>
        <v>46</v>
      </c>
      <c r="G1595" s="2" t="str">
        <f t="shared" si="334"/>
        <v>E78660</v>
      </c>
      <c r="H1595" s="2" t="str">
        <f t="shared" si="335"/>
        <v>가톨릭대학교 서울성모병원</v>
      </c>
      <c r="I1595" s="2" t="str">
        <f t="shared" si="344"/>
        <v>특수</v>
      </c>
    </row>
    <row r="1596" spans="1:9" x14ac:dyDescent="0.3">
      <c r="A1596" s="2" t="str">
        <f t="shared" si="345"/>
        <v>20251015</v>
      </c>
      <c r="B1596" s="2" t="str">
        <f>"18865063"</f>
        <v>18865063</v>
      </c>
      <c r="C1596" s="2" t="str">
        <f>"양지은"</f>
        <v>양지은</v>
      </c>
      <c r="D1596" s="2" t="str">
        <f>"F"</f>
        <v>F</v>
      </c>
      <c r="E1596" s="2" t="str">
        <f>"19850919"</f>
        <v>19850919</v>
      </c>
      <c r="F1596" s="2" t="str">
        <f>"40"</f>
        <v>40</v>
      </c>
      <c r="G1596" s="2" t="str">
        <f t="shared" si="334"/>
        <v>E78660</v>
      </c>
      <c r="H1596" s="2" t="str">
        <f t="shared" si="335"/>
        <v>가톨릭대학교 서울성모병원</v>
      </c>
      <c r="I1596" s="2" t="str">
        <f t="shared" si="344"/>
        <v>특수</v>
      </c>
    </row>
    <row r="1597" spans="1:9" x14ac:dyDescent="0.3">
      <c r="A1597" s="2" t="str">
        <f t="shared" si="345"/>
        <v>20251015</v>
      </c>
      <c r="B1597" s="2" t="str">
        <f>"20874506"</f>
        <v>20874506</v>
      </c>
      <c r="C1597" s="2" t="str">
        <f>"박천수"</f>
        <v>박천수</v>
      </c>
      <c r="D1597" s="2" t="str">
        <f>"M"</f>
        <v>M</v>
      </c>
      <c r="E1597" s="2" t="str">
        <f>"19770713"</f>
        <v>19770713</v>
      </c>
      <c r="F1597" s="2" t="str">
        <f>"48"</f>
        <v>48</v>
      </c>
      <c r="G1597" s="2" t="str">
        <f t="shared" si="334"/>
        <v>E78660</v>
      </c>
      <c r="H1597" s="2" t="str">
        <f t="shared" si="335"/>
        <v>가톨릭대학교 서울성모병원</v>
      </c>
      <c r="I1597" s="2" t="str">
        <f t="shared" si="344"/>
        <v>특수</v>
      </c>
    </row>
    <row r="1598" spans="1:9" x14ac:dyDescent="0.3">
      <c r="A1598" s="2" t="str">
        <f t="shared" si="345"/>
        <v>20251015</v>
      </c>
      <c r="B1598" s="2" t="str">
        <f>"21108071"</f>
        <v>21108071</v>
      </c>
      <c r="C1598" s="2" t="str">
        <f>"김옥선"</f>
        <v>김옥선</v>
      </c>
      <c r="D1598" s="2" t="str">
        <f>"F"</f>
        <v>F</v>
      </c>
      <c r="E1598" s="2" t="str">
        <f>"19810625"</f>
        <v>19810625</v>
      </c>
      <c r="F1598" s="2" t="str">
        <f>"44"</f>
        <v>44</v>
      </c>
      <c r="G1598" s="2" t="str">
        <f t="shared" si="334"/>
        <v>E78660</v>
      </c>
      <c r="H1598" s="2" t="str">
        <f t="shared" si="335"/>
        <v>가톨릭대학교 서울성모병원</v>
      </c>
      <c r="I1598" s="2" t="str">
        <f t="shared" si="344"/>
        <v>특수</v>
      </c>
    </row>
    <row r="1599" spans="1:9" x14ac:dyDescent="0.3">
      <c r="A1599" s="2" t="str">
        <f t="shared" si="345"/>
        <v>20251015</v>
      </c>
      <c r="B1599" s="2" t="str">
        <f>"23135254"</f>
        <v>23135254</v>
      </c>
      <c r="C1599" s="2" t="str">
        <f>"이서윤"</f>
        <v>이서윤</v>
      </c>
      <c r="D1599" s="2" t="str">
        <f>"F"</f>
        <v>F</v>
      </c>
      <c r="E1599" s="2" t="str">
        <f>"19810723"</f>
        <v>19810723</v>
      </c>
      <c r="F1599" s="2" t="str">
        <f>"44"</f>
        <v>44</v>
      </c>
      <c r="G1599" s="2" t="str">
        <f t="shared" si="334"/>
        <v>E78660</v>
      </c>
      <c r="H1599" s="2" t="str">
        <f t="shared" si="335"/>
        <v>가톨릭대학교 서울성모병원</v>
      </c>
      <c r="I1599" s="2" t="str">
        <f t="shared" si="344"/>
        <v>특수</v>
      </c>
    </row>
    <row r="1600" spans="1:9" x14ac:dyDescent="0.3">
      <c r="A1600" s="2" t="str">
        <f t="shared" si="345"/>
        <v>20251015</v>
      </c>
      <c r="B1600" s="2" t="str">
        <f>"32008421"</f>
        <v>32008421</v>
      </c>
      <c r="C1600" s="2" t="str">
        <f>"박수연"</f>
        <v>박수연</v>
      </c>
      <c r="D1600" s="2" t="str">
        <f>"F"</f>
        <v>F</v>
      </c>
      <c r="E1600" s="2" t="str">
        <f>"19990629"</f>
        <v>19990629</v>
      </c>
      <c r="F1600" s="2" t="str">
        <f>"26"</f>
        <v>26</v>
      </c>
      <c r="G1600" s="2" t="str">
        <f t="shared" si="334"/>
        <v>E78660</v>
      </c>
      <c r="H1600" s="2" t="str">
        <f t="shared" si="335"/>
        <v>가톨릭대학교 서울성모병원</v>
      </c>
      <c r="I1600" s="2" t="str">
        <f t="shared" si="344"/>
        <v>특수</v>
      </c>
    </row>
    <row r="1601" spans="1:9" x14ac:dyDescent="0.3">
      <c r="A1601" s="2" t="str">
        <f t="shared" si="345"/>
        <v>20251015</v>
      </c>
      <c r="B1601" s="2" t="str">
        <f>"33102072"</f>
        <v>33102072</v>
      </c>
      <c r="C1601" s="2" t="str">
        <f>"김창섭"</f>
        <v>김창섭</v>
      </c>
      <c r="D1601" s="2" t="str">
        <f>"M"</f>
        <v>M</v>
      </c>
      <c r="E1601" s="2" t="str">
        <f>"19920418"</f>
        <v>19920418</v>
      </c>
      <c r="F1601" s="2" t="str">
        <f>"33"</f>
        <v>33</v>
      </c>
      <c r="G1601" s="2" t="str">
        <f t="shared" si="334"/>
        <v>E78660</v>
      </c>
      <c r="H1601" s="2" t="str">
        <f t="shared" si="335"/>
        <v>가톨릭대학교 서울성모병원</v>
      </c>
      <c r="I1601" s="2" t="str">
        <f>"배치후"</f>
        <v>배치후</v>
      </c>
    </row>
    <row r="1602" spans="1:9" x14ac:dyDescent="0.3">
      <c r="A1602" s="2" t="str">
        <f t="shared" si="345"/>
        <v>20251015</v>
      </c>
      <c r="B1602" s="2" t="str">
        <f>"34588854"</f>
        <v>34588854</v>
      </c>
      <c r="C1602" s="2" t="str">
        <f>"최유진"</f>
        <v>최유진</v>
      </c>
      <c r="D1602" s="2" t="str">
        <f t="shared" ref="D1602:D1625" si="346">"F"</f>
        <v>F</v>
      </c>
      <c r="E1602" s="2" t="str">
        <f>"19970817"</f>
        <v>19970817</v>
      </c>
      <c r="F1602" s="2" t="str">
        <f>"28"</f>
        <v>28</v>
      </c>
      <c r="G1602" s="2" t="str">
        <f t="shared" si="334"/>
        <v>E78660</v>
      </c>
      <c r="H1602" s="2" t="str">
        <f t="shared" si="335"/>
        <v>가톨릭대학교 서울성모병원</v>
      </c>
      <c r="I1602" s="2" t="str">
        <f>"특수"</f>
        <v>특수</v>
      </c>
    </row>
    <row r="1603" spans="1:9" x14ac:dyDescent="0.3">
      <c r="A1603" s="2" t="str">
        <f t="shared" si="345"/>
        <v>20251015</v>
      </c>
      <c r="B1603" s="2" t="str">
        <f>"40722441"</f>
        <v>40722441</v>
      </c>
      <c r="C1603" s="2" t="str">
        <f>"김민정"</f>
        <v>김민정</v>
      </c>
      <c r="D1603" s="2" t="str">
        <f t="shared" si="346"/>
        <v>F</v>
      </c>
      <c r="E1603" s="2" t="str">
        <f>"20000215"</f>
        <v>20000215</v>
      </c>
      <c r="F1603" s="2" t="str">
        <f>"25"</f>
        <v>25</v>
      </c>
      <c r="G1603" s="2" t="str">
        <f t="shared" si="334"/>
        <v>E78660</v>
      </c>
      <c r="H1603" s="2" t="str">
        <f t="shared" si="335"/>
        <v>가톨릭대학교 서울성모병원</v>
      </c>
      <c r="I1603" s="2" t="str">
        <f>"배치후"</f>
        <v>배치후</v>
      </c>
    </row>
    <row r="1604" spans="1:9" x14ac:dyDescent="0.3">
      <c r="A1604" s="2" t="str">
        <f t="shared" si="345"/>
        <v>20251015</v>
      </c>
      <c r="B1604" s="2" t="str">
        <f>"40722495"</f>
        <v>40722495</v>
      </c>
      <c r="C1604" s="2" t="str">
        <f>"윤지현"</f>
        <v>윤지현</v>
      </c>
      <c r="D1604" s="2" t="str">
        <f t="shared" si="346"/>
        <v>F</v>
      </c>
      <c r="E1604" s="2" t="str">
        <f>"19980528"</f>
        <v>19980528</v>
      </c>
      <c r="F1604" s="2" t="str">
        <f>"27"</f>
        <v>27</v>
      </c>
      <c r="G1604" s="2" t="str">
        <f t="shared" si="334"/>
        <v>E78660</v>
      </c>
      <c r="H1604" s="2" t="str">
        <f t="shared" si="335"/>
        <v>가톨릭대학교 서울성모병원</v>
      </c>
      <c r="I1604" s="2" t="str">
        <f>"배치후"</f>
        <v>배치후</v>
      </c>
    </row>
    <row r="1605" spans="1:9" x14ac:dyDescent="0.3">
      <c r="A1605" s="2" t="str">
        <f t="shared" ref="A1605:A1612" si="347">"20251016"</f>
        <v>20251016</v>
      </c>
      <c r="B1605" s="2" t="str">
        <f>"18466480"</f>
        <v>18466480</v>
      </c>
      <c r="C1605" s="2" t="str">
        <f>"채보현"</f>
        <v>채보현</v>
      </c>
      <c r="D1605" s="2" t="str">
        <f t="shared" si="346"/>
        <v>F</v>
      </c>
      <c r="E1605" s="2" t="str">
        <f>"19870310"</f>
        <v>19870310</v>
      </c>
      <c r="F1605" s="2" t="str">
        <f>"38"</f>
        <v>38</v>
      </c>
      <c r="G1605" s="2" t="str">
        <f t="shared" ref="G1605:G1668" si="348">"E78660"</f>
        <v>E78660</v>
      </c>
      <c r="H1605" s="2" t="str">
        <f t="shared" ref="H1605:H1668" si="349">"가톨릭대학교 서울성모병원"</f>
        <v>가톨릭대학교 서울성모병원</v>
      </c>
      <c r="I1605" s="2" t="str">
        <f>"특수"</f>
        <v>특수</v>
      </c>
    </row>
    <row r="1606" spans="1:9" x14ac:dyDescent="0.3">
      <c r="A1606" s="2" t="str">
        <f t="shared" si="347"/>
        <v>20251016</v>
      </c>
      <c r="B1606" s="2" t="str">
        <f>"19309455"</f>
        <v>19309455</v>
      </c>
      <c r="C1606" s="2" t="str">
        <f>"구미나"</f>
        <v>구미나</v>
      </c>
      <c r="D1606" s="2" t="str">
        <f t="shared" si="346"/>
        <v>F</v>
      </c>
      <c r="E1606" s="2" t="str">
        <f>"19880505"</f>
        <v>19880505</v>
      </c>
      <c r="F1606" s="2" t="str">
        <f>"37"</f>
        <v>37</v>
      </c>
      <c r="G1606" s="2" t="str">
        <f t="shared" si="348"/>
        <v>E78660</v>
      </c>
      <c r="H1606" s="2" t="str">
        <f t="shared" si="349"/>
        <v>가톨릭대학교 서울성모병원</v>
      </c>
      <c r="I1606" s="2" t="str">
        <f>"특수"</f>
        <v>특수</v>
      </c>
    </row>
    <row r="1607" spans="1:9" x14ac:dyDescent="0.3">
      <c r="A1607" s="2" t="str">
        <f t="shared" si="347"/>
        <v>20251016</v>
      </c>
      <c r="B1607" s="2" t="str">
        <f>"19795642"</f>
        <v>19795642</v>
      </c>
      <c r="C1607" s="2" t="str">
        <f>"박선정"</f>
        <v>박선정</v>
      </c>
      <c r="D1607" s="2" t="str">
        <f t="shared" si="346"/>
        <v>F</v>
      </c>
      <c r="E1607" s="2" t="str">
        <f>"19860901"</f>
        <v>19860901</v>
      </c>
      <c r="F1607" s="2" t="str">
        <f>"39"</f>
        <v>39</v>
      </c>
      <c r="G1607" s="2" t="str">
        <f t="shared" si="348"/>
        <v>E78660</v>
      </c>
      <c r="H1607" s="2" t="str">
        <f t="shared" si="349"/>
        <v>가톨릭대학교 서울성모병원</v>
      </c>
      <c r="I1607" s="2" t="str">
        <f>"특수"</f>
        <v>특수</v>
      </c>
    </row>
    <row r="1608" spans="1:9" x14ac:dyDescent="0.3">
      <c r="A1608" s="2" t="str">
        <f t="shared" si="347"/>
        <v>20251016</v>
      </c>
      <c r="B1608" s="2" t="str">
        <f>"34293431"</f>
        <v>34293431</v>
      </c>
      <c r="C1608" s="2" t="str">
        <f>"정선경"</f>
        <v>정선경</v>
      </c>
      <c r="D1608" s="2" t="str">
        <f t="shared" si="346"/>
        <v>F</v>
      </c>
      <c r="E1608" s="2" t="str">
        <f>"19960428"</f>
        <v>19960428</v>
      </c>
      <c r="F1608" s="2" t="str">
        <f>"29"</f>
        <v>29</v>
      </c>
      <c r="G1608" s="2" t="str">
        <f t="shared" si="348"/>
        <v>E78660</v>
      </c>
      <c r="H1608" s="2" t="str">
        <f t="shared" si="349"/>
        <v>가톨릭대학교 서울성모병원</v>
      </c>
      <c r="I1608" s="2" t="str">
        <f>"배치후"</f>
        <v>배치후</v>
      </c>
    </row>
    <row r="1609" spans="1:9" x14ac:dyDescent="0.3">
      <c r="A1609" s="2" t="str">
        <f t="shared" si="347"/>
        <v>20251016</v>
      </c>
      <c r="B1609" s="2" t="str">
        <f>"37661665"</f>
        <v>37661665</v>
      </c>
      <c r="C1609" s="2" t="str">
        <f>"이윤주"</f>
        <v>이윤주</v>
      </c>
      <c r="D1609" s="2" t="str">
        <f t="shared" si="346"/>
        <v>F</v>
      </c>
      <c r="E1609" s="2" t="str">
        <f>"19980717"</f>
        <v>19980717</v>
      </c>
      <c r="F1609" s="2" t="str">
        <f>"27"</f>
        <v>27</v>
      </c>
      <c r="G1609" s="2" t="str">
        <f t="shared" si="348"/>
        <v>E78660</v>
      </c>
      <c r="H1609" s="2" t="str">
        <f t="shared" si="349"/>
        <v>가톨릭대학교 서울성모병원</v>
      </c>
      <c r="I1609" s="2" t="str">
        <f>"배치후"</f>
        <v>배치후</v>
      </c>
    </row>
    <row r="1610" spans="1:9" x14ac:dyDescent="0.3">
      <c r="A1610" s="2" t="str">
        <f t="shared" si="347"/>
        <v>20251016</v>
      </c>
      <c r="B1610" s="2" t="str">
        <f>"38084376"</f>
        <v>38084376</v>
      </c>
      <c r="C1610" s="2" t="str">
        <f>"조하은"</f>
        <v>조하은</v>
      </c>
      <c r="D1610" s="2" t="str">
        <f t="shared" si="346"/>
        <v>F</v>
      </c>
      <c r="E1610" s="2" t="str">
        <f>"19990705"</f>
        <v>19990705</v>
      </c>
      <c r="F1610" s="2" t="str">
        <f>"26"</f>
        <v>26</v>
      </c>
      <c r="G1610" s="2" t="str">
        <f t="shared" si="348"/>
        <v>E78660</v>
      </c>
      <c r="H1610" s="2" t="str">
        <f t="shared" si="349"/>
        <v>가톨릭대학교 서울성모병원</v>
      </c>
      <c r="I1610" s="2" t="str">
        <f>"특수"</f>
        <v>특수</v>
      </c>
    </row>
    <row r="1611" spans="1:9" x14ac:dyDescent="0.3">
      <c r="A1611" s="2" t="str">
        <f t="shared" si="347"/>
        <v>20251016</v>
      </c>
      <c r="B1611" s="2" t="str">
        <f>"38605751"</f>
        <v>38605751</v>
      </c>
      <c r="C1611" s="2" t="str">
        <f>"나소영"</f>
        <v>나소영</v>
      </c>
      <c r="D1611" s="2" t="str">
        <f t="shared" si="346"/>
        <v>F</v>
      </c>
      <c r="E1611" s="2" t="str">
        <f>"19990730"</f>
        <v>19990730</v>
      </c>
      <c r="F1611" s="2" t="str">
        <f>"26"</f>
        <v>26</v>
      </c>
      <c r="G1611" s="2" t="str">
        <f t="shared" si="348"/>
        <v>E78660</v>
      </c>
      <c r="H1611" s="2" t="str">
        <f t="shared" si="349"/>
        <v>가톨릭대학교 서울성모병원</v>
      </c>
      <c r="I1611" s="2" t="str">
        <f>"특수"</f>
        <v>특수</v>
      </c>
    </row>
    <row r="1612" spans="1:9" x14ac:dyDescent="0.3">
      <c r="A1612" s="2" t="str">
        <f t="shared" si="347"/>
        <v>20251016</v>
      </c>
      <c r="B1612" s="2" t="str">
        <f>"39416926"</f>
        <v>39416926</v>
      </c>
      <c r="C1612" s="2" t="str">
        <f>"소성아"</f>
        <v>소성아</v>
      </c>
      <c r="D1612" s="2" t="str">
        <f t="shared" si="346"/>
        <v>F</v>
      </c>
      <c r="E1612" s="2" t="str">
        <f>"20000708"</f>
        <v>20000708</v>
      </c>
      <c r="F1612" s="2" t="str">
        <f>"25"</f>
        <v>25</v>
      </c>
      <c r="G1612" s="2" t="str">
        <f t="shared" si="348"/>
        <v>E78660</v>
      </c>
      <c r="H1612" s="2" t="str">
        <f t="shared" si="349"/>
        <v>가톨릭대학교 서울성모병원</v>
      </c>
      <c r="I1612" s="2" t="str">
        <f>"특수"</f>
        <v>특수</v>
      </c>
    </row>
    <row r="1613" spans="1:9" x14ac:dyDescent="0.3">
      <c r="A1613" s="2" t="str">
        <f>"20251020"</f>
        <v>20251020</v>
      </c>
      <c r="B1613" s="2" t="str">
        <f>"39688695"</f>
        <v>39688695</v>
      </c>
      <c r="C1613" s="2" t="str">
        <f>"허다겸"</f>
        <v>허다겸</v>
      </c>
      <c r="D1613" s="2" t="str">
        <f t="shared" si="346"/>
        <v>F</v>
      </c>
      <c r="E1613" s="2" t="str">
        <f>"19701115"</f>
        <v>19701115</v>
      </c>
      <c r="F1613" s="2" t="str">
        <f>"54"</f>
        <v>54</v>
      </c>
      <c r="G1613" s="2" t="str">
        <f t="shared" si="348"/>
        <v>E78660</v>
      </c>
      <c r="H1613" s="2" t="str">
        <f t="shared" si="349"/>
        <v>가톨릭대학교 서울성모병원</v>
      </c>
      <c r="I1613" s="2" t="str">
        <f>"배치후"</f>
        <v>배치후</v>
      </c>
    </row>
    <row r="1614" spans="1:9" x14ac:dyDescent="0.3">
      <c r="A1614" s="2" t="str">
        <f t="shared" ref="A1614:A1626" si="350">"20251021"</f>
        <v>20251021</v>
      </c>
      <c r="B1614" s="2" t="str">
        <f>"13451466"</f>
        <v>13451466</v>
      </c>
      <c r="C1614" s="2" t="str">
        <f>"송분연"</f>
        <v>송분연</v>
      </c>
      <c r="D1614" s="2" t="str">
        <f t="shared" si="346"/>
        <v>F</v>
      </c>
      <c r="E1614" s="2" t="str">
        <f>"19750901"</f>
        <v>19750901</v>
      </c>
      <c r="F1614" s="2" t="str">
        <f>"50"</f>
        <v>50</v>
      </c>
      <c r="G1614" s="2" t="str">
        <f t="shared" si="348"/>
        <v>E78660</v>
      </c>
      <c r="H1614" s="2" t="str">
        <f t="shared" si="349"/>
        <v>가톨릭대학교 서울성모병원</v>
      </c>
      <c r="I1614" s="2" t="str">
        <f>"특수"</f>
        <v>특수</v>
      </c>
    </row>
    <row r="1615" spans="1:9" x14ac:dyDescent="0.3">
      <c r="A1615" s="2" t="str">
        <f t="shared" si="350"/>
        <v>20251021</v>
      </c>
      <c r="B1615" s="2" t="str">
        <f>"20189076"</f>
        <v>20189076</v>
      </c>
      <c r="C1615" s="2" t="str">
        <f>"정남철"</f>
        <v>정남철</v>
      </c>
      <c r="D1615" s="2" t="str">
        <f t="shared" si="346"/>
        <v>F</v>
      </c>
      <c r="E1615" s="2" t="str">
        <f>"19700510"</f>
        <v>19700510</v>
      </c>
      <c r="F1615" s="2" t="str">
        <f>"55"</f>
        <v>55</v>
      </c>
      <c r="G1615" s="2" t="str">
        <f t="shared" si="348"/>
        <v>E78660</v>
      </c>
      <c r="H1615" s="2" t="str">
        <f t="shared" si="349"/>
        <v>가톨릭대학교 서울성모병원</v>
      </c>
      <c r="I1615" s="2" t="str">
        <f>"배치후"</f>
        <v>배치후</v>
      </c>
    </row>
    <row r="1616" spans="1:9" x14ac:dyDescent="0.3">
      <c r="A1616" s="2" t="str">
        <f t="shared" si="350"/>
        <v>20251021</v>
      </c>
      <c r="B1616" s="2" t="str">
        <f>"21414271"</f>
        <v>21414271</v>
      </c>
      <c r="C1616" s="2" t="str">
        <f>"김유경"</f>
        <v>김유경</v>
      </c>
      <c r="D1616" s="2" t="str">
        <f t="shared" si="346"/>
        <v>F</v>
      </c>
      <c r="E1616" s="2" t="str">
        <f>"19851015"</f>
        <v>19851015</v>
      </c>
      <c r="F1616" s="2" t="str">
        <f>"40"</f>
        <v>40</v>
      </c>
      <c r="G1616" s="2" t="str">
        <f t="shared" si="348"/>
        <v>E78660</v>
      </c>
      <c r="H1616" s="2" t="str">
        <f t="shared" si="349"/>
        <v>가톨릭대학교 서울성모병원</v>
      </c>
      <c r="I1616" s="2" t="str">
        <f>"특수"</f>
        <v>특수</v>
      </c>
    </row>
    <row r="1617" spans="1:9" x14ac:dyDescent="0.3">
      <c r="A1617" s="2" t="str">
        <f t="shared" si="350"/>
        <v>20251021</v>
      </c>
      <c r="B1617" s="2" t="str">
        <f>"26291243"</f>
        <v>26291243</v>
      </c>
      <c r="C1617" s="2" t="str">
        <f>"김회연"</f>
        <v>김회연</v>
      </c>
      <c r="D1617" s="2" t="str">
        <f t="shared" si="346"/>
        <v>F</v>
      </c>
      <c r="E1617" s="2" t="str">
        <f>"19900617"</f>
        <v>19900617</v>
      </c>
      <c r="F1617" s="2" t="str">
        <f>"35"</f>
        <v>35</v>
      </c>
      <c r="G1617" s="2" t="str">
        <f t="shared" si="348"/>
        <v>E78660</v>
      </c>
      <c r="H1617" s="2" t="str">
        <f t="shared" si="349"/>
        <v>가톨릭대학교 서울성모병원</v>
      </c>
      <c r="I1617" s="2" t="str">
        <f>"배치후"</f>
        <v>배치후</v>
      </c>
    </row>
    <row r="1618" spans="1:9" x14ac:dyDescent="0.3">
      <c r="A1618" s="2" t="str">
        <f t="shared" si="350"/>
        <v>20251021</v>
      </c>
      <c r="B1618" s="2" t="str">
        <f>"26988961"</f>
        <v>26988961</v>
      </c>
      <c r="C1618" s="2" t="str">
        <f>"김현진"</f>
        <v>김현진</v>
      </c>
      <c r="D1618" s="2" t="str">
        <f t="shared" si="346"/>
        <v>F</v>
      </c>
      <c r="E1618" s="2" t="str">
        <f>"19910625"</f>
        <v>19910625</v>
      </c>
      <c r="F1618" s="2" t="str">
        <f>"34"</f>
        <v>34</v>
      </c>
      <c r="G1618" s="2" t="str">
        <f t="shared" si="348"/>
        <v>E78660</v>
      </c>
      <c r="H1618" s="2" t="str">
        <f t="shared" si="349"/>
        <v>가톨릭대학교 서울성모병원</v>
      </c>
      <c r="I1618" s="2" t="str">
        <f>"특수"</f>
        <v>특수</v>
      </c>
    </row>
    <row r="1619" spans="1:9" x14ac:dyDescent="0.3">
      <c r="A1619" s="2" t="str">
        <f t="shared" si="350"/>
        <v>20251021</v>
      </c>
      <c r="B1619" s="2" t="str">
        <f>"28554042"</f>
        <v>28554042</v>
      </c>
      <c r="C1619" s="2" t="str">
        <f>"이가현"</f>
        <v>이가현</v>
      </c>
      <c r="D1619" s="2" t="str">
        <f t="shared" si="346"/>
        <v>F</v>
      </c>
      <c r="E1619" s="2" t="str">
        <f>"19950802"</f>
        <v>19950802</v>
      </c>
      <c r="F1619" s="2" t="str">
        <f>"30"</f>
        <v>30</v>
      </c>
      <c r="G1619" s="2" t="str">
        <f t="shared" si="348"/>
        <v>E78660</v>
      </c>
      <c r="H1619" s="2" t="str">
        <f t="shared" si="349"/>
        <v>가톨릭대학교 서울성모병원</v>
      </c>
      <c r="I1619" s="2" t="str">
        <f>"배치전"</f>
        <v>배치전</v>
      </c>
    </row>
    <row r="1620" spans="1:9" x14ac:dyDescent="0.3">
      <c r="A1620" s="2" t="str">
        <f t="shared" si="350"/>
        <v>20251021</v>
      </c>
      <c r="B1620" s="2" t="str">
        <f>"31294223"</f>
        <v>31294223</v>
      </c>
      <c r="C1620" s="2" t="str">
        <f>"박도영"</f>
        <v>박도영</v>
      </c>
      <c r="D1620" s="2" t="str">
        <f t="shared" si="346"/>
        <v>F</v>
      </c>
      <c r="E1620" s="2" t="str">
        <f>"19940302"</f>
        <v>19940302</v>
      </c>
      <c r="F1620" s="2" t="str">
        <f>"31"</f>
        <v>31</v>
      </c>
      <c r="G1620" s="2" t="str">
        <f t="shared" si="348"/>
        <v>E78660</v>
      </c>
      <c r="H1620" s="2" t="str">
        <f t="shared" si="349"/>
        <v>가톨릭대학교 서울성모병원</v>
      </c>
      <c r="I1620" s="2" t="str">
        <f>"특수"</f>
        <v>특수</v>
      </c>
    </row>
    <row r="1621" spans="1:9" x14ac:dyDescent="0.3">
      <c r="A1621" s="2" t="str">
        <f t="shared" si="350"/>
        <v>20251021</v>
      </c>
      <c r="B1621" s="2" t="str">
        <f>"33876004"</f>
        <v>33876004</v>
      </c>
      <c r="C1621" s="2" t="str">
        <f>"최석류"</f>
        <v>최석류</v>
      </c>
      <c r="D1621" s="2" t="str">
        <f t="shared" si="346"/>
        <v>F</v>
      </c>
      <c r="E1621" s="2" t="str">
        <f>"19960206"</f>
        <v>19960206</v>
      </c>
      <c r="F1621" s="2" t="str">
        <f>"29"</f>
        <v>29</v>
      </c>
      <c r="G1621" s="2" t="str">
        <f t="shared" si="348"/>
        <v>E78660</v>
      </c>
      <c r="H1621" s="2" t="str">
        <f t="shared" si="349"/>
        <v>가톨릭대학교 서울성모병원</v>
      </c>
      <c r="I1621" s="2" t="str">
        <f>"특수"</f>
        <v>특수</v>
      </c>
    </row>
    <row r="1622" spans="1:9" x14ac:dyDescent="0.3">
      <c r="A1622" s="2" t="str">
        <f t="shared" si="350"/>
        <v>20251021</v>
      </c>
      <c r="B1622" s="2" t="str">
        <f>"34293464"</f>
        <v>34293464</v>
      </c>
      <c r="C1622" s="2" t="str">
        <f>"김해나"</f>
        <v>김해나</v>
      </c>
      <c r="D1622" s="2" t="str">
        <f t="shared" si="346"/>
        <v>F</v>
      </c>
      <c r="E1622" s="2" t="str">
        <f>"19920619"</f>
        <v>19920619</v>
      </c>
      <c r="F1622" s="2" t="str">
        <f>"33"</f>
        <v>33</v>
      </c>
      <c r="G1622" s="2" t="str">
        <f t="shared" si="348"/>
        <v>E78660</v>
      </c>
      <c r="H1622" s="2" t="str">
        <f t="shared" si="349"/>
        <v>가톨릭대학교 서울성모병원</v>
      </c>
      <c r="I1622" s="2" t="str">
        <f>"배치전"</f>
        <v>배치전</v>
      </c>
    </row>
    <row r="1623" spans="1:9" x14ac:dyDescent="0.3">
      <c r="A1623" s="2" t="str">
        <f t="shared" si="350"/>
        <v>20251021</v>
      </c>
      <c r="B1623" s="2" t="str">
        <f>"36349683"</f>
        <v>36349683</v>
      </c>
      <c r="C1623" s="2" t="str">
        <f>"남궁하경"</f>
        <v>남궁하경</v>
      </c>
      <c r="D1623" s="2" t="str">
        <f t="shared" si="346"/>
        <v>F</v>
      </c>
      <c r="E1623" s="2" t="str">
        <f>"19980102"</f>
        <v>19980102</v>
      </c>
      <c r="F1623" s="2" t="str">
        <f>"27"</f>
        <v>27</v>
      </c>
      <c r="G1623" s="2" t="str">
        <f t="shared" si="348"/>
        <v>E78660</v>
      </c>
      <c r="H1623" s="2" t="str">
        <f t="shared" si="349"/>
        <v>가톨릭대학교 서울성모병원</v>
      </c>
      <c r="I1623" s="2" t="str">
        <f>"특수"</f>
        <v>특수</v>
      </c>
    </row>
    <row r="1624" spans="1:9" x14ac:dyDescent="0.3">
      <c r="A1624" s="2" t="str">
        <f t="shared" si="350"/>
        <v>20251021</v>
      </c>
      <c r="B1624" s="2" t="str">
        <f>"39283413"</f>
        <v>39283413</v>
      </c>
      <c r="C1624" s="2" t="str">
        <f>"박아영"</f>
        <v>박아영</v>
      </c>
      <c r="D1624" s="2" t="str">
        <f t="shared" si="346"/>
        <v>F</v>
      </c>
      <c r="E1624" s="2" t="str">
        <f>"19991219"</f>
        <v>19991219</v>
      </c>
      <c r="F1624" s="2" t="str">
        <f>"25"</f>
        <v>25</v>
      </c>
      <c r="G1624" s="2" t="str">
        <f t="shared" si="348"/>
        <v>E78660</v>
      </c>
      <c r="H1624" s="2" t="str">
        <f t="shared" si="349"/>
        <v>가톨릭대학교 서울성모병원</v>
      </c>
      <c r="I1624" s="2" t="str">
        <f>"특수"</f>
        <v>특수</v>
      </c>
    </row>
    <row r="1625" spans="1:9" x14ac:dyDescent="0.3">
      <c r="A1625" s="2" t="str">
        <f t="shared" si="350"/>
        <v>20251021</v>
      </c>
      <c r="B1625" s="2" t="str">
        <f>"40800432"</f>
        <v>40800432</v>
      </c>
      <c r="C1625" s="2" t="str">
        <f>"최희연"</f>
        <v>최희연</v>
      </c>
      <c r="D1625" s="2" t="str">
        <f t="shared" si="346"/>
        <v>F</v>
      </c>
      <c r="E1625" s="2" t="str">
        <f>"20010928"</f>
        <v>20010928</v>
      </c>
      <c r="F1625" s="2" t="str">
        <f>"24"</f>
        <v>24</v>
      </c>
      <c r="G1625" s="2" t="str">
        <f t="shared" si="348"/>
        <v>E78660</v>
      </c>
      <c r="H1625" s="2" t="str">
        <f t="shared" si="349"/>
        <v>가톨릭대학교 서울성모병원</v>
      </c>
      <c r="I1625" s="2" t="str">
        <f>"배치후"</f>
        <v>배치후</v>
      </c>
    </row>
    <row r="1626" spans="1:9" x14ac:dyDescent="0.3">
      <c r="A1626" s="2" t="str">
        <f t="shared" si="350"/>
        <v>20251021</v>
      </c>
      <c r="B1626" s="2" t="str">
        <f>"40867943"</f>
        <v>40867943</v>
      </c>
      <c r="C1626" s="2" t="str">
        <f>"조민혁"</f>
        <v>조민혁</v>
      </c>
      <c r="D1626" s="2" t="str">
        <f>"M"</f>
        <v>M</v>
      </c>
      <c r="E1626" s="2" t="str">
        <f>"20001213"</f>
        <v>20001213</v>
      </c>
      <c r="F1626" s="2" t="str">
        <f>"24"</f>
        <v>24</v>
      </c>
      <c r="G1626" s="2" t="str">
        <f t="shared" si="348"/>
        <v>E78660</v>
      </c>
      <c r="H1626" s="2" t="str">
        <f t="shared" si="349"/>
        <v>가톨릭대학교 서울성모병원</v>
      </c>
      <c r="I1626" s="2" t="str">
        <f>"배치후"</f>
        <v>배치후</v>
      </c>
    </row>
    <row r="1627" spans="1:9" x14ac:dyDescent="0.3">
      <c r="A1627" s="2" t="str">
        <f t="shared" ref="A1627:A1638" si="351">"20251022"</f>
        <v>20251022</v>
      </c>
      <c r="B1627" s="2" t="str">
        <f>"14889138"</f>
        <v>14889138</v>
      </c>
      <c r="C1627" s="2" t="str">
        <f>"남정혜"</f>
        <v>남정혜</v>
      </c>
      <c r="D1627" s="2" t="str">
        <f t="shared" ref="D1627:D1634" si="352">"F"</f>
        <v>F</v>
      </c>
      <c r="E1627" s="2" t="str">
        <f>"19810408"</f>
        <v>19810408</v>
      </c>
      <c r="F1627" s="2" t="str">
        <f>"44"</f>
        <v>44</v>
      </c>
      <c r="G1627" s="2" t="str">
        <f t="shared" si="348"/>
        <v>E78660</v>
      </c>
      <c r="H1627" s="2" t="str">
        <f t="shared" si="349"/>
        <v>가톨릭대학교 서울성모병원</v>
      </c>
      <c r="I1627" s="2" t="str">
        <f>"특수"</f>
        <v>특수</v>
      </c>
    </row>
    <row r="1628" spans="1:9" x14ac:dyDescent="0.3">
      <c r="A1628" s="2" t="str">
        <f t="shared" si="351"/>
        <v>20251022</v>
      </c>
      <c r="B1628" s="2" t="str">
        <f>"19651473"</f>
        <v>19651473</v>
      </c>
      <c r="C1628" s="2" t="str">
        <f>"박은미"</f>
        <v>박은미</v>
      </c>
      <c r="D1628" s="2" t="str">
        <f t="shared" si="352"/>
        <v>F</v>
      </c>
      <c r="E1628" s="2" t="str">
        <f>"19850120"</f>
        <v>19850120</v>
      </c>
      <c r="F1628" s="2" t="str">
        <f>"40"</f>
        <v>40</v>
      </c>
      <c r="G1628" s="2" t="str">
        <f t="shared" si="348"/>
        <v>E78660</v>
      </c>
      <c r="H1628" s="2" t="str">
        <f t="shared" si="349"/>
        <v>가톨릭대학교 서울성모병원</v>
      </c>
      <c r="I1628" s="2" t="str">
        <f>"특수"</f>
        <v>특수</v>
      </c>
    </row>
    <row r="1629" spans="1:9" x14ac:dyDescent="0.3">
      <c r="A1629" s="2" t="str">
        <f t="shared" si="351"/>
        <v>20251022</v>
      </c>
      <c r="B1629" s="2" t="str">
        <f>"25049644"</f>
        <v>25049644</v>
      </c>
      <c r="C1629" s="2" t="str">
        <f>"이다혜"</f>
        <v>이다혜</v>
      </c>
      <c r="D1629" s="2" t="str">
        <f t="shared" si="352"/>
        <v>F</v>
      </c>
      <c r="E1629" s="2" t="str">
        <f>"19830407"</f>
        <v>19830407</v>
      </c>
      <c r="F1629" s="2" t="str">
        <f>"42"</f>
        <v>42</v>
      </c>
      <c r="G1629" s="2" t="str">
        <f t="shared" si="348"/>
        <v>E78660</v>
      </c>
      <c r="H1629" s="2" t="str">
        <f t="shared" si="349"/>
        <v>가톨릭대학교 서울성모병원</v>
      </c>
      <c r="I1629" s="2" t="str">
        <f>"배치후"</f>
        <v>배치후</v>
      </c>
    </row>
    <row r="1630" spans="1:9" x14ac:dyDescent="0.3">
      <c r="A1630" s="2" t="str">
        <f t="shared" si="351"/>
        <v>20251022</v>
      </c>
      <c r="B1630" s="2" t="str">
        <f>"30120431"</f>
        <v>30120431</v>
      </c>
      <c r="C1630" s="2" t="str">
        <f>"안지윤"</f>
        <v>안지윤</v>
      </c>
      <c r="D1630" s="2" t="str">
        <f t="shared" si="352"/>
        <v>F</v>
      </c>
      <c r="E1630" s="2" t="str">
        <f>"19930527"</f>
        <v>19930527</v>
      </c>
      <c r="F1630" s="2" t="str">
        <f>"32"</f>
        <v>32</v>
      </c>
      <c r="G1630" s="2" t="str">
        <f t="shared" si="348"/>
        <v>E78660</v>
      </c>
      <c r="H1630" s="2" t="str">
        <f t="shared" si="349"/>
        <v>가톨릭대학교 서울성모병원</v>
      </c>
      <c r="I1630" s="2" t="str">
        <f>"특수"</f>
        <v>특수</v>
      </c>
    </row>
    <row r="1631" spans="1:9" x14ac:dyDescent="0.3">
      <c r="A1631" s="2" t="str">
        <f t="shared" si="351"/>
        <v>20251022</v>
      </c>
      <c r="B1631" s="2" t="str">
        <f>"31293973"</f>
        <v>31293973</v>
      </c>
      <c r="C1631" s="2" t="str">
        <f>"김세영"</f>
        <v>김세영</v>
      </c>
      <c r="D1631" s="2" t="str">
        <f t="shared" si="352"/>
        <v>F</v>
      </c>
      <c r="E1631" s="2" t="str">
        <f>"19940924"</f>
        <v>19940924</v>
      </c>
      <c r="F1631" s="2" t="str">
        <f>"31"</f>
        <v>31</v>
      </c>
      <c r="G1631" s="2" t="str">
        <f t="shared" si="348"/>
        <v>E78660</v>
      </c>
      <c r="H1631" s="2" t="str">
        <f t="shared" si="349"/>
        <v>가톨릭대학교 서울성모병원</v>
      </c>
      <c r="I1631" s="2" t="str">
        <f>"특수"</f>
        <v>특수</v>
      </c>
    </row>
    <row r="1632" spans="1:9" x14ac:dyDescent="0.3">
      <c r="A1632" s="2" t="str">
        <f t="shared" si="351"/>
        <v>20251022</v>
      </c>
      <c r="B1632" s="2" t="str">
        <f>"37094690"</f>
        <v>37094690</v>
      </c>
      <c r="C1632" s="2" t="str">
        <f>"천소연"</f>
        <v>천소연</v>
      </c>
      <c r="D1632" s="2" t="str">
        <f t="shared" si="352"/>
        <v>F</v>
      </c>
      <c r="E1632" s="2" t="str">
        <f>"19951129"</f>
        <v>19951129</v>
      </c>
      <c r="F1632" s="2" t="str">
        <f>"29"</f>
        <v>29</v>
      </c>
      <c r="G1632" s="2" t="str">
        <f t="shared" si="348"/>
        <v>E78660</v>
      </c>
      <c r="H1632" s="2" t="str">
        <f t="shared" si="349"/>
        <v>가톨릭대학교 서울성모병원</v>
      </c>
      <c r="I1632" s="2" t="str">
        <f>"특수"</f>
        <v>특수</v>
      </c>
    </row>
    <row r="1633" spans="1:9" x14ac:dyDescent="0.3">
      <c r="A1633" s="2" t="str">
        <f t="shared" si="351"/>
        <v>20251022</v>
      </c>
      <c r="B1633" s="2" t="str">
        <f>"37234224"</f>
        <v>37234224</v>
      </c>
      <c r="C1633" s="2" t="str">
        <f>"방은지"</f>
        <v>방은지</v>
      </c>
      <c r="D1633" s="2" t="str">
        <f t="shared" si="352"/>
        <v>F</v>
      </c>
      <c r="E1633" s="2" t="str">
        <f>"19990102"</f>
        <v>19990102</v>
      </c>
      <c r="F1633" s="2" t="str">
        <f>"26"</f>
        <v>26</v>
      </c>
      <c r="G1633" s="2" t="str">
        <f t="shared" si="348"/>
        <v>E78660</v>
      </c>
      <c r="H1633" s="2" t="str">
        <f t="shared" si="349"/>
        <v>가톨릭대학교 서울성모병원</v>
      </c>
      <c r="I1633" s="2" t="str">
        <f>"특수"</f>
        <v>특수</v>
      </c>
    </row>
    <row r="1634" spans="1:9" x14ac:dyDescent="0.3">
      <c r="A1634" s="2" t="str">
        <f t="shared" si="351"/>
        <v>20251022</v>
      </c>
      <c r="B1634" s="2" t="str">
        <f>"40834446"</f>
        <v>40834446</v>
      </c>
      <c r="C1634" s="2" t="str">
        <f>"박사름"</f>
        <v>박사름</v>
      </c>
      <c r="D1634" s="2" t="str">
        <f t="shared" si="352"/>
        <v>F</v>
      </c>
      <c r="E1634" s="2" t="str">
        <f>"19950503"</f>
        <v>19950503</v>
      </c>
      <c r="F1634" s="2" t="str">
        <f>"30"</f>
        <v>30</v>
      </c>
      <c r="G1634" s="2" t="str">
        <f t="shared" si="348"/>
        <v>E78660</v>
      </c>
      <c r="H1634" s="2" t="str">
        <f t="shared" si="349"/>
        <v>가톨릭대학교 서울성모병원</v>
      </c>
      <c r="I1634" s="2" t="str">
        <f>"배치후"</f>
        <v>배치후</v>
      </c>
    </row>
    <row r="1635" spans="1:9" x14ac:dyDescent="0.3">
      <c r="A1635" s="2" t="str">
        <f t="shared" si="351"/>
        <v>20251022</v>
      </c>
      <c r="B1635" s="2" t="str">
        <f>"40944161"</f>
        <v>40944161</v>
      </c>
      <c r="C1635" s="2" t="str">
        <f>"서진욱"</f>
        <v>서진욱</v>
      </c>
      <c r="D1635" s="2" t="str">
        <f>"M"</f>
        <v>M</v>
      </c>
      <c r="E1635" s="2" t="str">
        <f>"20001115"</f>
        <v>20001115</v>
      </c>
      <c r="F1635" s="2" t="str">
        <f>"24"</f>
        <v>24</v>
      </c>
      <c r="G1635" s="2" t="str">
        <f t="shared" si="348"/>
        <v>E78660</v>
      </c>
      <c r="H1635" s="2" t="str">
        <f t="shared" si="349"/>
        <v>가톨릭대학교 서울성모병원</v>
      </c>
      <c r="I1635" s="2" t="str">
        <f>"배치후"</f>
        <v>배치후</v>
      </c>
    </row>
    <row r="1636" spans="1:9" x14ac:dyDescent="0.3">
      <c r="A1636" s="2" t="str">
        <f t="shared" si="351"/>
        <v>20251022</v>
      </c>
      <c r="B1636" s="2" t="str">
        <f>"41420721"</f>
        <v>41420721</v>
      </c>
      <c r="C1636" s="2" t="str">
        <f>"박민준"</f>
        <v>박민준</v>
      </c>
      <c r="D1636" s="2" t="str">
        <f>"M"</f>
        <v>M</v>
      </c>
      <c r="E1636" s="2" t="str">
        <f>"19970909"</f>
        <v>19970909</v>
      </c>
      <c r="F1636" s="2" t="str">
        <f>"28"</f>
        <v>28</v>
      </c>
      <c r="G1636" s="2" t="str">
        <f t="shared" si="348"/>
        <v>E78660</v>
      </c>
      <c r="H1636" s="2" t="str">
        <f t="shared" si="349"/>
        <v>가톨릭대학교 서울성모병원</v>
      </c>
      <c r="I1636" s="2" t="str">
        <f>"배치전"</f>
        <v>배치전</v>
      </c>
    </row>
    <row r="1637" spans="1:9" x14ac:dyDescent="0.3">
      <c r="A1637" s="2" t="str">
        <f t="shared" si="351"/>
        <v>20251022</v>
      </c>
      <c r="B1637" s="2" t="str">
        <f>"41422475"</f>
        <v>41422475</v>
      </c>
      <c r="C1637" s="2" t="str">
        <f>"홍현혜"</f>
        <v>홍현혜</v>
      </c>
      <c r="D1637" s="2" t="str">
        <f>"F"</f>
        <v>F</v>
      </c>
      <c r="E1637" s="2" t="str">
        <f>"19840906"</f>
        <v>19840906</v>
      </c>
      <c r="F1637" s="2" t="str">
        <f>"41"</f>
        <v>41</v>
      </c>
      <c r="G1637" s="2" t="str">
        <f t="shared" si="348"/>
        <v>E78660</v>
      </c>
      <c r="H1637" s="2" t="str">
        <f t="shared" si="349"/>
        <v>가톨릭대학교 서울성모병원</v>
      </c>
      <c r="I1637" s="2" t="str">
        <f>"배치전"</f>
        <v>배치전</v>
      </c>
    </row>
    <row r="1638" spans="1:9" x14ac:dyDescent="0.3">
      <c r="A1638" s="2" t="str">
        <f t="shared" si="351"/>
        <v>20251022</v>
      </c>
      <c r="B1638" s="2" t="str">
        <f>"41424021"</f>
        <v>41424021</v>
      </c>
      <c r="C1638" s="2" t="str">
        <f>"문보경"</f>
        <v>문보경</v>
      </c>
      <c r="D1638" s="2" t="str">
        <f>"F"</f>
        <v>F</v>
      </c>
      <c r="E1638" s="2" t="str">
        <f>"19930831"</f>
        <v>19930831</v>
      </c>
      <c r="F1638" s="2" t="str">
        <f>"32"</f>
        <v>32</v>
      </c>
      <c r="G1638" s="2" t="str">
        <f t="shared" si="348"/>
        <v>E78660</v>
      </c>
      <c r="H1638" s="2" t="str">
        <f t="shared" si="349"/>
        <v>가톨릭대학교 서울성모병원</v>
      </c>
      <c r="I1638" s="2" t="str">
        <f>"배치전"</f>
        <v>배치전</v>
      </c>
    </row>
    <row r="1639" spans="1:9" x14ac:dyDescent="0.3">
      <c r="A1639" s="2" t="str">
        <f t="shared" ref="A1639:A1649" si="353">"20251027"</f>
        <v>20251027</v>
      </c>
      <c r="B1639" s="2" t="str">
        <f>"20217386"</f>
        <v>20217386</v>
      </c>
      <c r="C1639" s="2" t="str">
        <f>"유승효"</f>
        <v>유승효</v>
      </c>
      <c r="D1639" s="2" t="str">
        <f>"M"</f>
        <v>M</v>
      </c>
      <c r="E1639" s="2" t="str">
        <f>"19720316"</f>
        <v>19720316</v>
      </c>
      <c r="F1639" s="2" t="str">
        <f>"53"</f>
        <v>53</v>
      </c>
      <c r="G1639" s="2" t="str">
        <f t="shared" si="348"/>
        <v>E78660</v>
      </c>
      <c r="H1639" s="2" t="str">
        <f t="shared" si="349"/>
        <v>가톨릭대학교 서울성모병원</v>
      </c>
      <c r="I1639" s="2" t="str">
        <f t="shared" ref="I1639:I1646" si="354">"특수"</f>
        <v>특수</v>
      </c>
    </row>
    <row r="1640" spans="1:9" x14ac:dyDescent="0.3">
      <c r="A1640" s="2" t="str">
        <f t="shared" si="353"/>
        <v>20251027</v>
      </c>
      <c r="B1640" s="2" t="str">
        <f>"21049246"</f>
        <v>21049246</v>
      </c>
      <c r="C1640" s="2" t="str">
        <f>"김호희"</f>
        <v>김호희</v>
      </c>
      <c r="D1640" s="2" t="str">
        <f>"F"</f>
        <v>F</v>
      </c>
      <c r="E1640" s="2" t="str">
        <f>"19880824"</f>
        <v>19880824</v>
      </c>
      <c r="F1640" s="2" t="str">
        <f>"37"</f>
        <v>37</v>
      </c>
      <c r="G1640" s="2" t="str">
        <f t="shared" si="348"/>
        <v>E78660</v>
      </c>
      <c r="H1640" s="2" t="str">
        <f t="shared" si="349"/>
        <v>가톨릭대학교 서울성모병원</v>
      </c>
      <c r="I1640" s="2" t="str">
        <f t="shared" si="354"/>
        <v>특수</v>
      </c>
    </row>
    <row r="1641" spans="1:9" x14ac:dyDescent="0.3">
      <c r="A1641" s="2" t="str">
        <f t="shared" si="353"/>
        <v>20251027</v>
      </c>
      <c r="B1641" s="2" t="str">
        <f>"22457702"</f>
        <v>22457702</v>
      </c>
      <c r="C1641" s="2" t="str">
        <f>"이지원"</f>
        <v>이지원</v>
      </c>
      <c r="D1641" s="2" t="str">
        <f>"F"</f>
        <v>F</v>
      </c>
      <c r="E1641" s="2" t="str">
        <f>"19870826"</f>
        <v>19870826</v>
      </c>
      <c r="F1641" s="2" t="str">
        <f>"38"</f>
        <v>38</v>
      </c>
      <c r="G1641" s="2" t="str">
        <f t="shared" si="348"/>
        <v>E78660</v>
      </c>
      <c r="H1641" s="2" t="str">
        <f t="shared" si="349"/>
        <v>가톨릭대학교 서울성모병원</v>
      </c>
      <c r="I1641" s="2" t="str">
        <f t="shared" si="354"/>
        <v>특수</v>
      </c>
    </row>
    <row r="1642" spans="1:9" x14ac:dyDescent="0.3">
      <c r="A1642" s="2" t="str">
        <f t="shared" si="353"/>
        <v>20251027</v>
      </c>
      <c r="B1642" s="2" t="str">
        <f>"24746282"</f>
        <v>24746282</v>
      </c>
      <c r="C1642" s="2" t="str">
        <f>"권현아"</f>
        <v>권현아</v>
      </c>
      <c r="D1642" s="2" t="str">
        <f>"F"</f>
        <v>F</v>
      </c>
      <c r="E1642" s="2" t="str">
        <f>"19880307"</f>
        <v>19880307</v>
      </c>
      <c r="F1642" s="2" t="str">
        <f>"37"</f>
        <v>37</v>
      </c>
      <c r="G1642" s="2" t="str">
        <f t="shared" si="348"/>
        <v>E78660</v>
      </c>
      <c r="H1642" s="2" t="str">
        <f t="shared" si="349"/>
        <v>가톨릭대학교 서울성모병원</v>
      </c>
      <c r="I1642" s="2" t="str">
        <f t="shared" si="354"/>
        <v>특수</v>
      </c>
    </row>
    <row r="1643" spans="1:9" x14ac:dyDescent="0.3">
      <c r="A1643" s="2" t="str">
        <f t="shared" si="353"/>
        <v>20251027</v>
      </c>
      <c r="B1643" s="2" t="str">
        <f>"30795992"</f>
        <v>30795992</v>
      </c>
      <c r="C1643" s="2" t="str">
        <f>"조성호"</f>
        <v>조성호</v>
      </c>
      <c r="D1643" s="2" t="str">
        <f>"M"</f>
        <v>M</v>
      </c>
      <c r="E1643" s="2" t="str">
        <f>"19940702"</f>
        <v>19940702</v>
      </c>
      <c r="F1643" s="2" t="str">
        <f>"31"</f>
        <v>31</v>
      </c>
      <c r="G1643" s="2" t="str">
        <f t="shared" si="348"/>
        <v>E78660</v>
      </c>
      <c r="H1643" s="2" t="str">
        <f t="shared" si="349"/>
        <v>가톨릭대학교 서울성모병원</v>
      </c>
      <c r="I1643" s="2" t="str">
        <f t="shared" si="354"/>
        <v>특수</v>
      </c>
    </row>
    <row r="1644" spans="1:9" x14ac:dyDescent="0.3">
      <c r="A1644" s="2" t="str">
        <f t="shared" si="353"/>
        <v>20251027</v>
      </c>
      <c r="B1644" s="2" t="str">
        <f>"31058982"</f>
        <v>31058982</v>
      </c>
      <c r="C1644" s="2" t="str">
        <f>"김혜원"</f>
        <v>김혜원</v>
      </c>
      <c r="D1644" s="2" t="str">
        <f>"F"</f>
        <v>F</v>
      </c>
      <c r="E1644" s="2" t="str">
        <f>"19940818"</f>
        <v>19940818</v>
      </c>
      <c r="F1644" s="2" t="str">
        <f>"31"</f>
        <v>31</v>
      </c>
      <c r="G1644" s="2" t="str">
        <f t="shared" si="348"/>
        <v>E78660</v>
      </c>
      <c r="H1644" s="2" t="str">
        <f t="shared" si="349"/>
        <v>가톨릭대학교 서울성모병원</v>
      </c>
      <c r="I1644" s="2" t="str">
        <f t="shared" si="354"/>
        <v>특수</v>
      </c>
    </row>
    <row r="1645" spans="1:9" x14ac:dyDescent="0.3">
      <c r="A1645" s="2" t="str">
        <f t="shared" si="353"/>
        <v>20251027</v>
      </c>
      <c r="B1645" s="2" t="str">
        <f>"32406285"</f>
        <v>32406285</v>
      </c>
      <c r="C1645" s="2" t="str">
        <f>"김덕"</f>
        <v>김덕</v>
      </c>
      <c r="D1645" s="2" t="str">
        <f>"M"</f>
        <v>M</v>
      </c>
      <c r="E1645" s="2" t="str">
        <f>"19931228"</f>
        <v>19931228</v>
      </c>
      <c r="F1645" s="2" t="str">
        <f>"31"</f>
        <v>31</v>
      </c>
      <c r="G1645" s="2" t="str">
        <f t="shared" si="348"/>
        <v>E78660</v>
      </c>
      <c r="H1645" s="2" t="str">
        <f t="shared" si="349"/>
        <v>가톨릭대학교 서울성모병원</v>
      </c>
      <c r="I1645" s="2" t="str">
        <f t="shared" si="354"/>
        <v>특수</v>
      </c>
    </row>
    <row r="1646" spans="1:9" x14ac:dyDescent="0.3">
      <c r="A1646" s="2" t="str">
        <f t="shared" si="353"/>
        <v>20251027</v>
      </c>
      <c r="B1646" s="2" t="str">
        <f>"35213223"</f>
        <v>35213223</v>
      </c>
      <c r="C1646" s="2" t="str">
        <f>"김인경"</f>
        <v>김인경</v>
      </c>
      <c r="D1646" s="2" t="str">
        <f t="shared" ref="D1646:D1655" si="355">"F"</f>
        <v>F</v>
      </c>
      <c r="E1646" s="2" t="str">
        <f>"19971229"</f>
        <v>19971229</v>
      </c>
      <c r="F1646" s="2" t="str">
        <f>"27"</f>
        <v>27</v>
      </c>
      <c r="G1646" s="2" t="str">
        <f t="shared" si="348"/>
        <v>E78660</v>
      </c>
      <c r="H1646" s="2" t="str">
        <f t="shared" si="349"/>
        <v>가톨릭대학교 서울성모병원</v>
      </c>
      <c r="I1646" s="2" t="str">
        <f t="shared" si="354"/>
        <v>특수</v>
      </c>
    </row>
    <row r="1647" spans="1:9" x14ac:dyDescent="0.3">
      <c r="A1647" s="2" t="str">
        <f t="shared" si="353"/>
        <v>20251027</v>
      </c>
      <c r="B1647" s="2" t="str">
        <f>"36152623"</f>
        <v>36152623</v>
      </c>
      <c r="C1647" s="2" t="str">
        <f>"정민희"</f>
        <v>정민희</v>
      </c>
      <c r="D1647" s="2" t="str">
        <f t="shared" si="355"/>
        <v>F</v>
      </c>
      <c r="E1647" s="2" t="str">
        <f>"19990111"</f>
        <v>19990111</v>
      </c>
      <c r="F1647" s="2" t="str">
        <f>"26"</f>
        <v>26</v>
      </c>
      <c r="G1647" s="2" t="str">
        <f t="shared" si="348"/>
        <v>E78660</v>
      </c>
      <c r="H1647" s="2" t="str">
        <f t="shared" si="349"/>
        <v>가톨릭대학교 서울성모병원</v>
      </c>
      <c r="I1647" s="2" t="str">
        <f>"배치후"</f>
        <v>배치후</v>
      </c>
    </row>
    <row r="1648" spans="1:9" x14ac:dyDescent="0.3">
      <c r="A1648" s="2" t="str">
        <f t="shared" si="353"/>
        <v>20251027</v>
      </c>
      <c r="B1648" s="2" t="str">
        <f>"38036441"</f>
        <v>38036441</v>
      </c>
      <c r="C1648" s="2" t="str">
        <f>"남은지"</f>
        <v>남은지</v>
      </c>
      <c r="D1648" s="2" t="str">
        <f t="shared" si="355"/>
        <v>F</v>
      </c>
      <c r="E1648" s="2" t="str">
        <f>"19981221"</f>
        <v>19981221</v>
      </c>
      <c r="F1648" s="2" t="str">
        <f>"26"</f>
        <v>26</v>
      </c>
      <c r="G1648" s="2" t="str">
        <f t="shared" si="348"/>
        <v>E78660</v>
      </c>
      <c r="H1648" s="2" t="str">
        <f t="shared" si="349"/>
        <v>가톨릭대학교 서울성모병원</v>
      </c>
      <c r="I1648" s="2" t="str">
        <f>"배치전"</f>
        <v>배치전</v>
      </c>
    </row>
    <row r="1649" spans="1:9" x14ac:dyDescent="0.3">
      <c r="A1649" s="2" t="str">
        <f t="shared" si="353"/>
        <v>20251027</v>
      </c>
      <c r="B1649" s="2" t="str">
        <f>"38425303"</f>
        <v>38425303</v>
      </c>
      <c r="C1649" s="2" t="str">
        <f>"전고은"</f>
        <v>전고은</v>
      </c>
      <c r="D1649" s="2" t="str">
        <f t="shared" si="355"/>
        <v>F</v>
      </c>
      <c r="E1649" s="2" t="str">
        <f>"20001020"</f>
        <v>20001020</v>
      </c>
      <c r="F1649" s="2" t="str">
        <f>"25"</f>
        <v>25</v>
      </c>
      <c r="G1649" s="2" t="str">
        <f t="shared" si="348"/>
        <v>E78660</v>
      </c>
      <c r="H1649" s="2" t="str">
        <f t="shared" si="349"/>
        <v>가톨릭대학교 서울성모병원</v>
      </c>
      <c r="I1649" s="2" t="str">
        <f>"특수"</f>
        <v>특수</v>
      </c>
    </row>
    <row r="1650" spans="1:9" x14ac:dyDescent="0.3">
      <c r="A1650" s="2" t="str">
        <f t="shared" ref="A1650:A1664" si="356">"20251028"</f>
        <v>20251028</v>
      </c>
      <c r="B1650" s="2" t="str">
        <f>"19786411"</f>
        <v>19786411</v>
      </c>
      <c r="C1650" s="2" t="str">
        <f>"장안우"</f>
        <v>장안우</v>
      </c>
      <c r="D1650" s="2" t="str">
        <f t="shared" si="355"/>
        <v>F</v>
      </c>
      <c r="E1650" s="2" t="str">
        <f>"19820822"</f>
        <v>19820822</v>
      </c>
      <c r="F1650" s="2" t="str">
        <f>"43"</f>
        <v>43</v>
      </c>
      <c r="G1650" s="2" t="str">
        <f t="shared" si="348"/>
        <v>E78660</v>
      </c>
      <c r="H1650" s="2" t="str">
        <f t="shared" si="349"/>
        <v>가톨릭대학교 서울성모병원</v>
      </c>
      <c r="I1650" s="2" t="str">
        <f>"배치전"</f>
        <v>배치전</v>
      </c>
    </row>
    <row r="1651" spans="1:9" x14ac:dyDescent="0.3">
      <c r="A1651" s="2" t="str">
        <f t="shared" si="356"/>
        <v>20251028</v>
      </c>
      <c r="B1651" s="2" t="str">
        <f>"19950356"</f>
        <v>19950356</v>
      </c>
      <c r="C1651" s="2" t="str">
        <f>"김지원"</f>
        <v>김지원</v>
      </c>
      <c r="D1651" s="2" t="str">
        <f t="shared" si="355"/>
        <v>F</v>
      </c>
      <c r="E1651" s="2" t="str">
        <f>"19750501"</f>
        <v>19750501</v>
      </c>
      <c r="F1651" s="2" t="str">
        <f>"50"</f>
        <v>50</v>
      </c>
      <c r="G1651" s="2" t="str">
        <f t="shared" si="348"/>
        <v>E78660</v>
      </c>
      <c r="H1651" s="2" t="str">
        <f t="shared" si="349"/>
        <v>가톨릭대학교 서울성모병원</v>
      </c>
      <c r="I1651" s="2" t="str">
        <f>"특수"</f>
        <v>특수</v>
      </c>
    </row>
    <row r="1652" spans="1:9" x14ac:dyDescent="0.3">
      <c r="A1652" s="2" t="str">
        <f t="shared" si="356"/>
        <v>20251028</v>
      </c>
      <c r="B1652" s="2" t="str">
        <f>"25913213"</f>
        <v>25913213</v>
      </c>
      <c r="C1652" s="2" t="str">
        <f>"이민주"</f>
        <v>이민주</v>
      </c>
      <c r="D1652" s="2" t="str">
        <f t="shared" si="355"/>
        <v>F</v>
      </c>
      <c r="E1652" s="2" t="str">
        <f>"19891217"</f>
        <v>19891217</v>
      </c>
      <c r="F1652" s="2" t="str">
        <f>"35"</f>
        <v>35</v>
      </c>
      <c r="G1652" s="2" t="str">
        <f t="shared" si="348"/>
        <v>E78660</v>
      </c>
      <c r="H1652" s="2" t="str">
        <f t="shared" si="349"/>
        <v>가톨릭대학교 서울성모병원</v>
      </c>
      <c r="I1652" s="2" t="str">
        <f>"특수"</f>
        <v>특수</v>
      </c>
    </row>
    <row r="1653" spans="1:9" x14ac:dyDescent="0.3">
      <c r="A1653" s="2" t="str">
        <f t="shared" si="356"/>
        <v>20251028</v>
      </c>
      <c r="B1653" s="2" t="str">
        <f>"27397222"</f>
        <v>27397222</v>
      </c>
      <c r="C1653" s="2" t="str">
        <f>"최나영"</f>
        <v>최나영</v>
      </c>
      <c r="D1653" s="2" t="str">
        <f t="shared" si="355"/>
        <v>F</v>
      </c>
      <c r="E1653" s="2" t="str">
        <f>"19951211"</f>
        <v>19951211</v>
      </c>
      <c r="F1653" s="2" t="str">
        <f>"29"</f>
        <v>29</v>
      </c>
      <c r="G1653" s="2" t="str">
        <f t="shared" si="348"/>
        <v>E78660</v>
      </c>
      <c r="H1653" s="2" t="str">
        <f t="shared" si="349"/>
        <v>가톨릭대학교 서울성모병원</v>
      </c>
      <c r="I1653" s="2" t="str">
        <f>"특수"</f>
        <v>특수</v>
      </c>
    </row>
    <row r="1654" spans="1:9" x14ac:dyDescent="0.3">
      <c r="A1654" s="2" t="str">
        <f t="shared" si="356"/>
        <v>20251028</v>
      </c>
      <c r="B1654" s="2" t="str">
        <f>"28349804"</f>
        <v>28349804</v>
      </c>
      <c r="C1654" s="2" t="str">
        <f>"문현이"</f>
        <v>문현이</v>
      </c>
      <c r="D1654" s="2" t="str">
        <f t="shared" si="355"/>
        <v>F</v>
      </c>
      <c r="E1654" s="2" t="str">
        <f>"19970611"</f>
        <v>19970611</v>
      </c>
      <c r="F1654" s="2" t="str">
        <f>"28"</f>
        <v>28</v>
      </c>
      <c r="G1654" s="2" t="str">
        <f t="shared" si="348"/>
        <v>E78660</v>
      </c>
      <c r="H1654" s="2" t="str">
        <f t="shared" si="349"/>
        <v>가톨릭대학교 서울성모병원</v>
      </c>
      <c r="I1654" s="2" t="str">
        <f>"배치전"</f>
        <v>배치전</v>
      </c>
    </row>
    <row r="1655" spans="1:9" x14ac:dyDescent="0.3">
      <c r="A1655" s="2" t="str">
        <f t="shared" si="356"/>
        <v>20251028</v>
      </c>
      <c r="B1655" s="2" t="str">
        <f>"29642781"</f>
        <v>29642781</v>
      </c>
      <c r="C1655" s="2" t="str">
        <f>"도지윤"</f>
        <v>도지윤</v>
      </c>
      <c r="D1655" s="2" t="str">
        <f t="shared" si="355"/>
        <v>F</v>
      </c>
      <c r="E1655" s="2" t="str">
        <f>"19940517"</f>
        <v>19940517</v>
      </c>
      <c r="F1655" s="2" t="str">
        <f>"31"</f>
        <v>31</v>
      </c>
      <c r="G1655" s="2" t="str">
        <f t="shared" si="348"/>
        <v>E78660</v>
      </c>
      <c r="H1655" s="2" t="str">
        <f t="shared" si="349"/>
        <v>가톨릭대학교 서울성모병원</v>
      </c>
      <c r="I1655" s="2" t="str">
        <f>"배치전"</f>
        <v>배치전</v>
      </c>
    </row>
    <row r="1656" spans="1:9" x14ac:dyDescent="0.3">
      <c r="A1656" s="2" t="str">
        <f t="shared" si="356"/>
        <v>20251028</v>
      </c>
      <c r="B1656" s="2" t="str">
        <f>"34293411"</f>
        <v>34293411</v>
      </c>
      <c r="C1656" s="2" t="str">
        <f>"권오훈"</f>
        <v>권오훈</v>
      </c>
      <c r="D1656" s="2" t="str">
        <f>"M"</f>
        <v>M</v>
      </c>
      <c r="E1656" s="2" t="str">
        <f>"19940926"</f>
        <v>19940926</v>
      </c>
      <c r="F1656" s="2" t="str">
        <f>"31"</f>
        <v>31</v>
      </c>
      <c r="G1656" s="2" t="str">
        <f t="shared" si="348"/>
        <v>E78660</v>
      </c>
      <c r="H1656" s="2" t="str">
        <f t="shared" si="349"/>
        <v>가톨릭대학교 서울성모병원</v>
      </c>
      <c r="I1656" s="2" t="str">
        <f>"특수"</f>
        <v>특수</v>
      </c>
    </row>
    <row r="1657" spans="1:9" x14ac:dyDescent="0.3">
      <c r="A1657" s="2" t="str">
        <f t="shared" si="356"/>
        <v>20251028</v>
      </c>
      <c r="B1657" s="2" t="str">
        <f>"36152204"</f>
        <v>36152204</v>
      </c>
      <c r="C1657" s="2" t="str">
        <f>"배정선"</f>
        <v>배정선</v>
      </c>
      <c r="D1657" s="2" t="str">
        <f>"F"</f>
        <v>F</v>
      </c>
      <c r="E1657" s="2" t="str">
        <f>"19960627"</f>
        <v>19960627</v>
      </c>
      <c r="F1657" s="2" t="str">
        <f>"29"</f>
        <v>29</v>
      </c>
      <c r="G1657" s="2" t="str">
        <f t="shared" si="348"/>
        <v>E78660</v>
      </c>
      <c r="H1657" s="2" t="str">
        <f t="shared" si="349"/>
        <v>가톨릭대학교 서울성모병원</v>
      </c>
      <c r="I1657" s="2" t="str">
        <f>"특수"</f>
        <v>특수</v>
      </c>
    </row>
    <row r="1658" spans="1:9" x14ac:dyDescent="0.3">
      <c r="A1658" s="2" t="str">
        <f t="shared" si="356"/>
        <v>20251028</v>
      </c>
      <c r="B1658" s="2" t="str">
        <f>"38647693"</f>
        <v>38647693</v>
      </c>
      <c r="C1658" s="2" t="str">
        <f>"김에스더"</f>
        <v>김에스더</v>
      </c>
      <c r="D1658" s="2" t="str">
        <f>"F"</f>
        <v>F</v>
      </c>
      <c r="E1658" s="2" t="str">
        <f>"19870924"</f>
        <v>19870924</v>
      </c>
      <c r="F1658" s="2" t="str">
        <f>"38"</f>
        <v>38</v>
      </c>
      <c r="G1658" s="2" t="str">
        <f t="shared" si="348"/>
        <v>E78660</v>
      </c>
      <c r="H1658" s="2" t="str">
        <f t="shared" si="349"/>
        <v>가톨릭대학교 서울성모병원</v>
      </c>
      <c r="I1658" s="2" t="str">
        <f>"배치전"</f>
        <v>배치전</v>
      </c>
    </row>
    <row r="1659" spans="1:9" x14ac:dyDescent="0.3">
      <c r="A1659" s="2" t="str">
        <f t="shared" si="356"/>
        <v>20251028</v>
      </c>
      <c r="B1659" s="2" t="str">
        <f>"39758904"</f>
        <v>39758904</v>
      </c>
      <c r="C1659" s="2" t="str">
        <f>"오주연"</f>
        <v>오주연</v>
      </c>
      <c r="D1659" s="2" t="str">
        <f>"F"</f>
        <v>F</v>
      </c>
      <c r="E1659" s="2" t="str">
        <f>"19980517"</f>
        <v>19980517</v>
      </c>
      <c r="F1659" s="2" t="str">
        <f>"27"</f>
        <v>27</v>
      </c>
      <c r="G1659" s="2" t="str">
        <f t="shared" si="348"/>
        <v>E78660</v>
      </c>
      <c r="H1659" s="2" t="str">
        <f t="shared" si="349"/>
        <v>가톨릭대학교 서울성모병원</v>
      </c>
      <c r="I1659" s="2" t="str">
        <f>"배치후"</f>
        <v>배치후</v>
      </c>
    </row>
    <row r="1660" spans="1:9" x14ac:dyDescent="0.3">
      <c r="A1660" s="2" t="str">
        <f t="shared" si="356"/>
        <v>20251028</v>
      </c>
      <c r="B1660" s="2" t="str">
        <f>"40867932"</f>
        <v>40867932</v>
      </c>
      <c r="C1660" s="2" t="str">
        <f>"김진겸"</f>
        <v>김진겸</v>
      </c>
      <c r="D1660" s="2" t="str">
        <f>"M"</f>
        <v>M</v>
      </c>
      <c r="E1660" s="2" t="str">
        <f>"19960402"</f>
        <v>19960402</v>
      </c>
      <c r="F1660" s="2" t="str">
        <f>"29"</f>
        <v>29</v>
      </c>
      <c r="G1660" s="2" t="str">
        <f t="shared" si="348"/>
        <v>E78660</v>
      </c>
      <c r="H1660" s="2" t="str">
        <f t="shared" si="349"/>
        <v>가톨릭대학교 서울성모병원</v>
      </c>
      <c r="I1660" s="2" t="str">
        <f>"배치후"</f>
        <v>배치후</v>
      </c>
    </row>
    <row r="1661" spans="1:9" x14ac:dyDescent="0.3">
      <c r="A1661" s="2" t="str">
        <f t="shared" si="356"/>
        <v>20251028</v>
      </c>
      <c r="B1661" s="2" t="str">
        <f>"40874871"</f>
        <v>40874871</v>
      </c>
      <c r="C1661" s="2" t="str">
        <f>"우석민"</f>
        <v>우석민</v>
      </c>
      <c r="D1661" s="2" t="str">
        <f>"M"</f>
        <v>M</v>
      </c>
      <c r="E1661" s="2" t="str">
        <f>"19980613"</f>
        <v>19980613</v>
      </c>
      <c r="F1661" s="2" t="str">
        <f>"27"</f>
        <v>27</v>
      </c>
      <c r="G1661" s="2" t="str">
        <f t="shared" si="348"/>
        <v>E78660</v>
      </c>
      <c r="H1661" s="2" t="str">
        <f t="shared" si="349"/>
        <v>가톨릭대학교 서울성모병원</v>
      </c>
      <c r="I1661" s="2" t="str">
        <f>"배치후"</f>
        <v>배치후</v>
      </c>
    </row>
    <row r="1662" spans="1:9" x14ac:dyDescent="0.3">
      <c r="A1662" s="2" t="str">
        <f t="shared" si="356"/>
        <v>20251028</v>
      </c>
      <c r="B1662" s="2" t="str">
        <f>"41166722"</f>
        <v>41166722</v>
      </c>
      <c r="C1662" s="2" t="str">
        <f>"유동훈"</f>
        <v>유동훈</v>
      </c>
      <c r="D1662" s="2" t="str">
        <f>"M"</f>
        <v>M</v>
      </c>
      <c r="E1662" s="2" t="str">
        <f>"20000124"</f>
        <v>20000124</v>
      </c>
      <c r="F1662" s="2" t="str">
        <f>"25"</f>
        <v>25</v>
      </c>
      <c r="G1662" s="2" t="str">
        <f t="shared" si="348"/>
        <v>E78660</v>
      </c>
      <c r="H1662" s="2" t="str">
        <f t="shared" si="349"/>
        <v>가톨릭대학교 서울성모병원</v>
      </c>
      <c r="I1662" s="2" t="str">
        <f>"배치전"</f>
        <v>배치전</v>
      </c>
    </row>
    <row r="1663" spans="1:9" x14ac:dyDescent="0.3">
      <c r="A1663" s="2" t="str">
        <f t="shared" si="356"/>
        <v>20251028</v>
      </c>
      <c r="B1663" s="2" t="str">
        <f>"41166853"</f>
        <v>41166853</v>
      </c>
      <c r="C1663" s="2" t="str">
        <f>"이우연"</f>
        <v>이우연</v>
      </c>
      <c r="D1663" s="2" t="str">
        <f>"M"</f>
        <v>M</v>
      </c>
      <c r="E1663" s="2" t="str">
        <f>"20000728"</f>
        <v>20000728</v>
      </c>
      <c r="F1663" s="2" t="str">
        <f>"25"</f>
        <v>25</v>
      </c>
      <c r="G1663" s="2" t="str">
        <f t="shared" si="348"/>
        <v>E78660</v>
      </c>
      <c r="H1663" s="2" t="str">
        <f t="shared" si="349"/>
        <v>가톨릭대학교 서울성모병원</v>
      </c>
      <c r="I1663" s="2" t="str">
        <f>"배치전"</f>
        <v>배치전</v>
      </c>
    </row>
    <row r="1664" spans="1:9" x14ac:dyDescent="0.3">
      <c r="A1664" s="2" t="str">
        <f t="shared" si="356"/>
        <v>20251028</v>
      </c>
      <c r="B1664" s="2" t="str">
        <f>"41434781"</f>
        <v>41434781</v>
      </c>
      <c r="C1664" s="2" t="str">
        <f>"김은소"</f>
        <v>김은소</v>
      </c>
      <c r="D1664" s="2" t="str">
        <f>"F"</f>
        <v>F</v>
      </c>
      <c r="E1664" s="2" t="str">
        <f>"20010113"</f>
        <v>20010113</v>
      </c>
      <c r="F1664" s="2" t="str">
        <f>"24"</f>
        <v>24</v>
      </c>
      <c r="G1664" s="2" t="str">
        <f t="shared" si="348"/>
        <v>E78660</v>
      </c>
      <c r="H1664" s="2" t="str">
        <f t="shared" si="349"/>
        <v>가톨릭대학교 서울성모병원</v>
      </c>
      <c r="I1664" s="2" t="str">
        <f>"배치전"</f>
        <v>배치전</v>
      </c>
    </row>
    <row r="1665" spans="1:9" x14ac:dyDescent="0.3">
      <c r="A1665" s="2" t="str">
        <f t="shared" ref="A1665:A1679" si="357">"20251029"</f>
        <v>20251029</v>
      </c>
      <c r="B1665" s="2" t="str">
        <f>"14249499"</f>
        <v>14249499</v>
      </c>
      <c r="C1665" s="2" t="str">
        <f>"신정섭"</f>
        <v>신정섭</v>
      </c>
      <c r="D1665" s="2" t="str">
        <f>"F"</f>
        <v>F</v>
      </c>
      <c r="E1665" s="2" t="str">
        <f>"19781222"</f>
        <v>19781222</v>
      </c>
      <c r="F1665" s="2" t="str">
        <f>"46"</f>
        <v>46</v>
      </c>
      <c r="G1665" s="2" t="str">
        <f t="shared" si="348"/>
        <v>E78660</v>
      </c>
      <c r="H1665" s="2" t="str">
        <f t="shared" si="349"/>
        <v>가톨릭대학교 서울성모병원</v>
      </c>
      <c r="I1665" s="2" t="str">
        <f>"특수"</f>
        <v>특수</v>
      </c>
    </row>
    <row r="1666" spans="1:9" x14ac:dyDescent="0.3">
      <c r="A1666" s="2" t="str">
        <f t="shared" si="357"/>
        <v>20251029</v>
      </c>
      <c r="B1666" s="2" t="str">
        <f>"19187728"</f>
        <v>19187728</v>
      </c>
      <c r="C1666" s="2" t="str">
        <f>"최고은"</f>
        <v>최고은</v>
      </c>
      <c r="D1666" s="2" t="str">
        <f>"F"</f>
        <v>F</v>
      </c>
      <c r="E1666" s="2" t="str">
        <f>"19840907"</f>
        <v>19840907</v>
      </c>
      <c r="F1666" s="2" t="str">
        <f>"41"</f>
        <v>41</v>
      </c>
      <c r="G1666" s="2" t="str">
        <f t="shared" si="348"/>
        <v>E78660</v>
      </c>
      <c r="H1666" s="2" t="str">
        <f t="shared" si="349"/>
        <v>가톨릭대학교 서울성모병원</v>
      </c>
      <c r="I1666" s="2" t="str">
        <f>"특수"</f>
        <v>특수</v>
      </c>
    </row>
    <row r="1667" spans="1:9" x14ac:dyDescent="0.3">
      <c r="A1667" s="2" t="str">
        <f t="shared" si="357"/>
        <v>20251029</v>
      </c>
      <c r="B1667" s="2" t="str">
        <f>"20868836"</f>
        <v>20868836</v>
      </c>
      <c r="C1667" s="2" t="str">
        <f>"박기웅"</f>
        <v>박기웅</v>
      </c>
      <c r="D1667" s="2" t="str">
        <f>"M"</f>
        <v>M</v>
      </c>
      <c r="E1667" s="2" t="str">
        <f>"19860424"</f>
        <v>19860424</v>
      </c>
      <c r="F1667" s="2" t="str">
        <f>"39"</f>
        <v>39</v>
      </c>
      <c r="G1667" s="2" t="str">
        <f t="shared" si="348"/>
        <v>E78660</v>
      </c>
      <c r="H1667" s="2" t="str">
        <f t="shared" si="349"/>
        <v>가톨릭대학교 서울성모병원</v>
      </c>
      <c r="I1667" s="2" t="str">
        <f>"배치후"</f>
        <v>배치후</v>
      </c>
    </row>
    <row r="1668" spans="1:9" x14ac:dyDescent="0.3">
      <c r="A1668" s="2" t="str">
        <f t="shared" si="357"/>
        <v>20251029</v>
      </c>
      <c r="B1668" s="2" t="str">
        <f>"22406494"</f>
        <v>22406494</v>
      </c>
      <c r="C1668" s="2" t="str">
        <f>"장혜정"</f>
        <v>장혜정</v>
      </c>
      <c r="D1668" s="2" t="str">
        <f t="shared" ref="D1668:D1677" si="358">"F"</f>
        <v>F</v>
      </c>
      <c r="E1668" s="2" t="str">
        <f>"19730916"</f>
        <v>19730916</v>
      </c>
      <c r="F1668" s="2" t="str">
        <f>"52"</f>
        <v>52</v>
      </c>
      <c r="G1668" s="2" t="str">
        <f t="shared" si="348"/>
        <v>E78660</v>
      </c>
      <c r="H1668" s="2" t="str">
        <f t="shared" si="349"/>
        <v>가톨릭대학교 서울성모병원</v>
      </c>
      <c r="I1668" s="2" t="str">
        <f>"배치전"</f>
        <v>배치전</v>
      </c>
    </row>
    <row r="1669" spans="1:9" x14ac:dyDescent="0.3">
      <c r="A1669" s="2" t="str">
        <f t="shared" si="357"/>
        <v>20251029</v>
      </c>
      <c r="B1669" s="2" t="str">
        <f>"24111355"</f>
        <v>24111355</v>
      </c>
      <c r="C1669" s="2" t="str">
        <f>"차지영"</f>
        <v>차지영</v>
      </c>
      <c r="D1669" s="2" t="str">
        <f t="shared" si="358"/>
        <v>F</v>
      </c>
      <c r="E1669" s="2" t="str">
        <f>"19700104"</f>
        <v>19700104</v>
      </c>
      <c r="F1669" s="2" t="str">
        <f>"55"</f>
        <v>55</v>
      </c>
      <c r="G1669" s="2" t="str">
        <f t="shared" ref="G1669:G1679" si="359">"E78660"</f>
        <v>E78660</v>
      </c>
      <c r="H1669" s="2" t="str">
        <f t="shared" ref="H1669:H1679" si="360">"가톨릭대학교 서울성모병원"</f>
        <v>가톨릭대학교 서울성모병원</v>
      </c>
      <c r="I1669" s="2" t="str">
        <f>"배치전"</f>
        <v>배치전</v>
      </c>
    </row>
    <row r="1670" spans="1:9" x14ac:dyDescent="0.3">
      <c r="A1670" s="2" t="str">
        <f t="shared" si="357"/>
        <v>20251029</v>
      </c>
      <c r="B1670" s="2" t="str">
        <f>"25058703"</f>
        <v>25058703</v>
      </c>
      <c r="C1670" s="2" t="str">
        <f>"김효진"</f>
        <v>김효진</v>
      </c>
      <c r="D1670" s="2" t="str">
        <f t="shared" si="358"/>
        <v>F</v>
      </c>
      <c r="E1670" s="2" t="str">
        <f>"19860205"</f>
        <v>19860205</v>
      </c>
      <c r="F1670" s="2" t="str">
        <f>"39"</f>
        <v>39</v>
      </c>
      <c r="G1670" s="2" t="str">
        <f t="shared" si="359"/>
        <v>E78660</v>
      </c>
      <c r="H1670" s="2" t="str">
        <f t="shared" si="360"/>
        <v>가톨릭대학교 서울성모병원</v>
      </c>
      <c r="I1670" s="2" t="str">
        <f>"배치후"</f>
        <v>배치후</v>
      </c>
    </row>
    <row r="1671" spans="1:9" x14ac:dyDescent="0.3">
      <c r="A1671" s="2" t="str">
        <f t="shared" si="357"/>
        <v>20251029</v>
      </c>
      <c r="B1671" s="2" t="str">
        <f>"25219303"</f>
        <v>25219303</v>
      </c>
      <c r="C1671" s="2" t="str">
        <f>"이지혜"</f>
        <v>이지혜</v>
      </c>
      <c r="D1671" s="2" t="str">
        <f t="shared" si="358"/>
        <v>F</v>
      </c>
      <c r="E1671" s="2" t="str">
        <f>"19780119"</f>
        <v>19780119</v>
      </c>
      <c r="F1671" s="2" t="str">
        <f>"47"</f>
        <v>47</v>
      </c>
      <c r="G1671" s="2" t="str">
        <f t="shared" si="359"/>
        <v>E78660</v>
      </c>
      <c r="H1671" s="2" t="str">
        <f t="shared" si="360"/>
        <v>가톨릭대학교 서울성모병원</v>
      </c>
      <c r="I1671" s="2" t="str">
        <f>"특수"</f>
        <v>특수</v>
      </c>
    </row>
    <row r="1672" spans="1:9" x14ac:dyDescent="0.3">
      <c r="A1672" s="2" t="str">
        <f t="shared" si="357"/>
        <v>20251029</v>
      </c>
      <c r="B1672" s="2" t="str">
        <f>"32007531"</f>
        <v>32007531</v>
      </c>
      <c r="C1672" s="2" t="str">
        <f>"원자경"</f>
        <v>원자경</v>
      </c>
      <c r="D1672" s="2" t="str">
        <f t="shared" si="358"/>
        <v>F</v>
      </c>
      <c r="E1672" s="2" t="str">
        <f>"19980403"</f>
        <v>19980403</v>
      </c>
      <c r="F1672" s="2" t="str">
        <f>"27"</f>
        <v>27</v>
      </c>
      <c r="G1672" s="2" t="str">
        <f t="shared" si="359"/>
        <v>E78660</v>
      </c>
      <c r="H1672" s="2" t="str">
        <f t="shared" si="360"/>
        <v>가톨릭대학교 서울성모병원</v>
      </c>
      <c r="I1672" s="2" t="str">
        <f>"배치후"</f>
        <v>배치후</v>
      </c>
    </row>
    <row r="1673" spans="1:9" x14ac:dyDescent="0.3">
      <c r="A1673" s="2" t="str">
        <f t="shared" si="357"/>
        <v>20251029</v>
      </c>
      <c r="B1673" s="2" t="str">
        <f>"33550492"</f>
        <v>33550492</v>
      </c>
      <c r="C1673" s="2" t="str">
        <f>"정하은"</f>
        <v>정하은</v>
      </c>
      <c r="D1673" s="2" t="str">
        <f t="shared" si="358"/>
        <v>F</v>
      </c>
      <c r="E1673" s="2" t="str">
        <f>"19970116"</f>
        <v>19970116</v>
      </c>
      <c r="F1673" s="2" t="str">
        <f>"28"</f>
        <v>28</v>
      </c>
      <c r="G1673" s="2" t="str">
        <f t="shared" si="359"/>
        <v>E78660</v>
      </c>
      <c r="H1673" s="2" t="str">
        <f t="shared" si="360"/>
        <v>가톨릭대학교 서울성모병원</v>
      </c>
      <c r="I1673" s="2" t="str">
        <f>"특수"</f>
        <v>특수</v>
      </c>
    </row>
    <row r="1674" spans="1:9" x14ac:dyDescent="0.3">
      <c r="A1674" s="2" t="str">
        <f t="shared" si="357"/>
        <v>20251029</v>
      </c>
      <c r="B1674" s="2" t="str">
        <f>"37198561"</f>
        <v>37198561</v>
      </c>
      <c r="C1674" s="2" t="str">
        <f>"심은정"</f>
        <v>심은정</v>
      </c>
      <c r="D1674" s="2" t="str">
        <f t="shared" si="358"/>
        <v>F</v>
      </c>
      <c r="E1674" s="2" t="str">
        <f>"19990530"</f>
        <v>19990530</v>
      </c>
      <c r="F1674" s="2" t="str">
        <f>"26"</f>
        <v>26</v>
      </c>
      <c r="G1674" s="2" t="str">
        <f t="shared" si="359"/>
        <v>E78660</v>
      </c>
      <c r="H1674" s="2" t="str">
        <f t="shared" si="360"/>
        <v>가톨릭대학교 서울성모병원</v>
      </c>
      <c r="I1674" s="2" t="str">
        <f>"특수"</f>
        <v>특수</v>
      </c>
    </row>
    <row r="1675" spans="1:9" x14ac:dyDescent="0.3">
      <c r="A1675" s="2" t="str">
        <f t="shared" si="357"/>
        <v>20251029</v>
      </c>
      <c r="B1675" s="2" t="str">
        <f>"39043055"</f>
        <v>39043055</v>
      </c>
      <c r="C1675" s="2" t="str">
        <f>"강유진"</f>
        <v>강유진</v>
      </c>
      <c r="D1675" s="2" t="str">
        <f t="shared" si="358"/>
        <v>F</v>
      </c>
      <c r="E1675" s="2" t="str">
        <f>"19971107"</f>
        <v>19971107</v>
      </c>
      <c r="F1675" s="2" t="str">
        <f>"27"</f>
        <v>27</v>
      </c>
      <c r="G1675" s="2" t="str">
        <f t="shared" si="359"/>
        <v>E78660</v>
      </c>
      <c r="H1675" s="2" t="str">
        <f t="shared" si="360"/>
        <v>가톨릭대학교 서울성모병원</v>
      </c>
      <c r="I1675" s="2" t="str">
        <f>"특수"</f>
        <v>특수</v>
      </c>
    </row>
    <row r="1676" spans="1:9" x14ac:dyDescent="0.3">
      <c r="A1676" s="2" t="str">
        <f t="shared" si="357"/>
        <v>20251029</v>
      </c>
      <c r="B1676" s="2" t="str">
        <f>"40834491"</f>
        <v>40834491</v>
      </c>
      <c r="C1676" s="2" t="str">
        <f>"이수민"</f>
        <v>이수민</v>
      </c>
      <c r="D1676" s="2" t="str">
        <f t="shared" si="358"/>
        <v>F</v>
      </c>
      <c r="E1676" s="2" t="str">
        <f>"20020621"</f>
        <v>20020621</v>
      </c>
      <c r="F1676" s="2" t="str">
        <f>"23"</f>
        <v>23</v>
      </c>
      <c r="G1676" s="2" t="str">
        <f t="shared" si="359"/>
        <v>E78660</v>
      </c>
      <c r="H1676" s="2" t="str">
        <f t="shared" si="360"/>
        <v>가톨릭대학교 서울성모병원</v>
      </c>
      <c r="I1676" s="2" t="str">
        <f>"배치후"</f>
        <v>배치후</v>
      </c>
    </row>
    <row r="1677" spans="1:9" x14ac:dyDescent="0.3">
      <c r="A1677" s="2" t="str">
        <f t="shared" si="357"/>
        <v>20251029</v>
      </c>
      <c r="B1677" s="2" t="str">
        <f>"40862440"</f>
        <v>40862440</v>
      </c>
      <c r="C1677" s="2" t="str">
        <f>"최은빈"</f>
        <v>최은빈</v>
      </c>
      <c r="D1677" s="2" t="str">
        <f t="shared" si="358"/>
        <v>F</v>
      </c>
      <c r="E1677" s="2" t="str">
        <f>"19990517"</f>
        <v>19990517</v>
      </c>
      <c r="F1677" s="2" t="str">
        <f>"26"</f>
        <v>26</v>
      </c>
      <c r="G1677" s="2" t="str">
        <f t="shared" si="359"/>
        <v>E78660</v>
      </c>
      <c r="H1677" s="2" t="str">
        <f t="shared" si="360"/>
        <v>가톨릭대학교 서울성모병원</v>
      </c>
      <c r="I1677" s="2" t="str">
        <f>"배치후"</f>
        <v>배치후</v>
      </c>
    </row>
    <row r="1678" spans="1:9" x14ac:dyDescent="0.3">
      <c r="A1678" s="2" t="str">
        <f t="shared" si="357"/>
        <v>20251029</v>
      </c>
      <c r="B1678" s="2" t="str">
        <f>"40944223"</f>
        <v>40944223</v>
      </c>
      <c r="C1678" s="2" t="str">
        <f>"전형룡"</f>
        <v>전형룡</v>
      </c>
      <c r="D1678" s="2" t="str">
        <f>"M"</f>
        <v>M</v>
      </c>
      <c r="E1678" s="2" t="str">
        <f>"19970812"</f>
        <v>19970812</v>
      </c>
      <c r="F1678" s="2" t="str">
        <f>"28"</f>
        <v>28</v>
      </c>
      <c r="G1678" s="2" t="str">
        <f t="shared" si="359"/>
        <v>E78660</v>
      </c>
      <c r="H1678" s="2" t="str">
        <f t="shared" si="360"/>
        <v>가톨릭대학교 서울성모병원</v>
      </c>
      <c r="I1678" s="2" t="str">
        <f>"배치후"</f>
        <v>배치후</v>
      </c>
    </row>
    <row r="1679" spans="1:9" x14ac:dyDescent="0.3">
      <c r="A1679" s="2" t="str">
        <f t="shared" si="357"/>
        <v>20251029</v>
      </c>
      <c r="B1679" s="2" t="str">
        <f>"41431465"</f>
        <v>41431465</v>
      </c>
      <c r="C1679" s="2" t="str">
        <f>"최혜진"</f>
        <v>최혜진</v>
      </c>
      <c r="D1679" s="2" t="str">
        <f>"F"</f>
        <v>F</v>
      </c>
      <c r="E1679" s="2" t="str">
        <f>"19961202"</f>
        <v>19961202</v>
      </c>
      <c r="F1679" s="2" t="str">
        <f>"28"</f>
        <v>28</v>
      </c>
      <c r="G1679" s="2" t="str">
        <f t="shared" si="359"/>
        <v>E78660</v>
      </c>
      <c r="H1679" s="2" t="str">
        <f t="shared" si="360"/>
        <v>가톨릭대학교 서울성모병원</v>
      </c>
      <c r="I1679" s="2" t="str">
        <f>"배치전"</f>
        <v>배치전</v>
      </c>
    </row>
    <row r="1680" spans="1:9" x14ac:dyDescent="0.3">
      <c r="A1680" s="2" t="str">
        <f t="shared" ref="A1680:A1685" si="361">"20251103"</f>
        <v>20251103</v>
      </c>
      <c r="B1680" s="2" t="str">
        <f>"32525172"</f>
        <v>32525172</v>
      </c>
      <c r="C1680" s="2" t="str">
        <f>"박상현"</f>
        <v>박상현</v>
      </c>
      <c r="D1680" s="2" t="str">
        <f>"M"</f>
        <v>M</v>
      </c>
      <c r="E1680" s="2" t="str">
        <f>"19740901"</f>
        <v>19740901</v>
      </c>
      <c r="F1680" s="2" t="str">
        <f>"51"</f>
        <v>51</v>
      </c>
      <c r="G1680" s="2" t="str">
        <f>"E80600"</f>
        <v>E80600</v>
      </c>
      <c r="H1680" s="2" t="str">
        <f>"베올리아산업개발코리아 주식회사"</f>
        <v>베올리아산업개발코리아 주식회사</v>
      </c>
      <c r="I1680" s="2" t="str">
        <f>"특수"</f>
        <v>특수</v>
      </c>
    </row>
    <row r="1681" spans="1:9" x14ac:dyDescent="0.3">
      <c r="A1681" s="2" t="str">
        <f t="shared" si="361"/>
        <v>20251103</v>
      </c>
      <c r="B1681" s="2" t="str">
        <f>"32894305"</f>
        <v>32894305</v>
      </c>
      <c r="C1681" s="2" t="str">
        <f>"김광용"</f>
        <v>김광용</v>
      </c>
      <c r="D1681" s="2" t="str">
        <f>"M"</f>
        <v>M</v>
      </c>
      <c r="E1681" s="2" t="str">
        <f>"19850628"</f>
        <v>19850628</v>
      </c>
      <c r="F1681" s="2" t="str">
        <f>"40"</f>
        <v>40</v>
      </c>
      <c r="G1681" s="2" t="str">
        <f>"E80600"</f>
        <v>E80600</v>
      </c>
      <c r="H1681" s="2" t="str">
        <f>"베올리아산업개발코리아 주식회사"</f>
        <v>베올리아산업개발코리아 주식회사</v>
      </c>
      <c r="I1681" s="2" t="str">
        <f>"특수"</f>
        <v>특수</v>
      </c>
    </row>
    <row r="1682" spans="1:9" x14ac:dyDescent="0.3">
      <c r="A1682" s="2" t="str">
        <f t="shared" si="361"/>
        <v>20251103</v>
      </c>
      <c r="B1682" s="2" t="str">
        <f>"36428983"</f>
        <v>36428983</v>
      </c>
      <c r="C1682" s="2" t="str">
        <f>"우태훈"</f>
        <v>우태훈</v>
      </c>
      <c r="D1682" s="2" t="str">
        <f>"M"</f>
        <v>M</v>
      </c>
      <c r="E1682" s="2" t="str">
        <f>"19941210"</f>
        <v>19941210</v>
      </c>
      <c r="F1682" s="2" t="str">
        <f>"30"</f>
        <v>30</v>
      </c>
      <c r="G1682" s="2" t="str">
        <f>"E80600"</f>
        <v>E80600</v>
      </c>
      <c r="H1682" s="2" t="str">
        <f>"베올리아산업개발코리아 주식회사"</f>
        <v>베올리아산업개발코리아 주식회사</v>
      </c>
      <c r="I1682" s="2" t="str">
        <f>"특수"</f>
        <v>특수</v>
      </c>
    </row>
    <row r="1683" spans="1:9" x14ac:dyDescent="0.3">
      <c r="A1683" s="2" t="str">
        <f t="shared" si="361"/>
        <v>20251103</v>
      </c>
      <c r="B1683" s="2" t="str">
        <f>"37929452"</f>
        <v>37929452</v>
      </c>
      <c r="C1683" s="2" t="str">
        <f>"김덕호"</f>
        <v>김덕호</v>
      </c>
      <c r="D1683" s="2" t="str">
        <f>"M"</f>
        <v>M</v>
      </c>
      <c r="E1683" s="2" t="str">
        <f>"19920924"</f>
        <v>19920924</v>
      </c>
      <c r="F1683" s="2" t="str">
        <f>"33"</f>
        <v>33</v>
      </c>
      <c r="G1683" s="2" t="str">
        <f>"E80600"</f>
        <v>E80600</v>
      </c>
      <c r="H1683" s="2" t="str">
        <f>"베올리아산업개발코리아 주식회사"</f>
        <v>베올리아산업개발코리아 주식회사</v>
      </c>
      <c r="I1683" s="2" t="str">
        <f>"특수"</f>
        <v>특수</v>
      </c>
    </row>
    <row r="1684" spans="1:9" x14ac:dyDescent="0.3">
      <c r="A1684" s="2" t="str">
        <f t="shared" si="361"/>
        <v>20251103</v>
      </c>
      <c r="B1684" s="2" t="str">
        <f>"41139986"</f>
        <v>41139986</v>
      </c>
      <c r="C1684" s="2" t="str">
        <f>"김영우"</f>
        <v>김영우</v>
      </c>
      <c r="D1684" s="2" t="str">
        <f>"M"</f>
        <v>M</v>
      </c>
      <c r="E1684" s="2" t="str">
        <f>"19850417"</f>
        <v>19850417</v>
      </c>
      <c r="F1684" s="2" t="str">
        <f>"40"</f>
        <v>40</v>
      </c>
      <c r="G1684" s="2" t="str">
        <f>"E80600"</f>
        <v>E80600</v>
      </c>
      <c r="H1684" s="2" t="str">
        <f>"베올리아산업개발코리아 주식회사"</f>
        <v>베올리아산업개발코리아 주식회사</v>
      </c>
      <c r="I1684" s="2" t="str">
        <f>"특수"</f>
        <v>특수</v>
      </c>
    </row>
    <row r="1685" spans="1:9" x14ac:dyDescent="0.3">
      <c r="A1685" s="2" t="str">
        <f t="shared" si="361"/>
        <v>20251103</v>
      </c>
      <c r="B1685" s="2" t="str">
        <f>"41166580"</f>
        <v>41166580</v>
      </c>
      <c r="C1685" s="2" t="str">
        <f>"신지원"</f>
        <v>신지원</v>
      </c>
      <c r="D1685" s="2" t="str">
        <f>"F"</f>
        <v>F</v>
      </c>
      <c r="E1685" s="2" t="str">
        <f>"20000901"</f>
        <v>20000901</v>
      </c>
      <c r="F1685" s="2" t="str">
        <f>"25"</f>
        <v>25</v>
      </c>
      <c r="G1685" s="2" t="str">
        <f>"E78660"</f>
        <v>E78660</v>
      </c>
      <c r="H1685" s="2" t="str">
        <f>"가톨릭대학교 서울성모병원"</f>
        <v>가톨릭대학교 서울성모병원</v>
      </c>
      <c r="I1685" s="2" t="str">
        <f>"배치전"</f>
        <v>배치전</v>
      </c>
    </row>
    <row r="1686" spans="1:9" x14ac:dyDescent="0.3">
      <c r="A1686" s="2" t="str">
        <f t="shared" ref="A1686:A1691" si="362">"20251105"</f>
        <v>20251105</v>
      </c>
      <c r="B1686" s="2" t="str">
        <f>"23094331"</f>
        <v>23094331</v>
      </c>
      <c r="C1686" s="2" t="str">
        <f>"박동주"</f>
        <v>박동주</v>
      </c>
      <c r="D1686" s="2" t="str">
        <f t="shared" ref="D1686:D1697" si="363">"M"</f>
        <v>M</v>
      </c>
      <c r="E1686" s="2" t="str">
        <f>"19851016"</f>
        <v>19851016</v>
      </c>
      <c r="F1686" s="2" t="str">
        <f>"40"</f>
        <v>40</v>
      </c>
      <c r="G1686" s="2" t="str">
        <f>"E78660"</f>
        <v>E78660</v>
      </c>
      <c r="H1686" s="2" t="str">
        <f>"가톨릭대학교 서울성모병원"</f>
        <v>가톨릭대학교 서울성모병원</v>
      </c>
      <c r="I1686" s="2" t="str">
        <f t="shared" ref="I1686:I1697" si="364">"특수"</f>
        <v>특수</v>
      </c>
    </row>
    <row r="1687" spans="1:9" x14ac:dyDescent="0.3">
      <c r="A1687" s="2" t="str">
        <f t="shared" si="362"/>
        <v>20251105</v>
      </c>
      <c r="B1687" s="2" t="str">
        <f>"32894292"</f>
        <v>32894292</v>
      </c>
      <c r="C1687" s="2" t="str">
        <f>"김영일"</f>
        <v>김영일</v>
      </c>
      <c r="D1687" s="2" t="str">
        <f t="shared" si="363"/>
        <v>M</v>
      </c>
      <c r="E1687" s="2" t="str">
        <f>"19730806"</f>
        <v>19730806</v>
      </c>
      <c r="F1687" s="2" t="str">
        <f>"52"</f>
        <v>52</v>
      </c>
      <c r="G1687" s="2" t="str">
        <f t="shared" ref="G1687:G1697" si="365">"E80600"</f>
        <v>E80600</v>
      </c>
      <c r="H1687" s="2" t="str">
        <f t="shared" ref="H1687:H1697" si="366">"베올리아산업개발코리아 주식회사"</f>
        <v>베올리아산업개발코리아 주식회사</v>
      </c>
      <c r="I1687" s="2" t="str">
        <f t="shared" si="364"/>
        <v>특수</v>
      </c>
    </row>
    <row r="1688" spans="1:9" x14ac:dyDescent="0.3">
      <c r="A1688" s="2" t="str">
        <f t="shared" si="362"/>
        <v>20251105</v>
      </c>
      <c r="B1688" s="2" t="str">
        <f>"37929575"</f>
        <v>37929575</v>
      </c>
      <c r="C1688" s="2" t="str">
        <f>"유재혁"</f>
        <v>유재혁</v>
      </c>
      <c r="D1688" s="2" t="str">
        <f t="shared" si="363"/>
        <v>M</v>
      </c>
      <c r="E1688" s="2" t="str">
        <f>"19860215"</f>
        <v>19860215</v>
      </c>
      <c r="F1688" s="2" t="str">
        <f>"39"</f>
        <v>39</v>
      </c>
      <c r="G1688" s="2" t="str">
        <f t="shared" si="365"/>
        <v>E80600</v>
      </c>
      <c r="H1688" s="2" t="str">
        <f t="shared" si="366"/>
        <v>베올리아산업개발코리아 주식회사</v>
      </c>
      <c r="I1688" s="2" t="str">
        <f t="shared" si="364"/>
        <v>특수</v>
      </c>
    </row>
    <row r="1689" spans="1:9" x14ac:dyDescent="0.3">
      <c r="A1689" s="2" t="str">
        <f t="shared" si="362"/>
        <v>20251105</v>
      </c>
      <c r="B1689" s="2" t="str">
        <f>"40609970"</f>
        <v>40609970</v>
      </c>
      <c r="C1689" s="2" t="str">
        <f>"이정후"</f>
        <v>이정후</v>
      </c>
      <c r="D1689" s="2" t="str">
        <f t="shared" si="363"/>
        <v>M</v>
      </c>
      <c r="E1689" s="2" t="str">
        <f>"19930114"</f>
        <v>19930114</v>
      </c>
      <c r="F1689" s="2" t="str">
        <f>"32"</f>
        <v>32</v>
      </c>
      <c r="G1689" s="2" t="str">
        <f t="shared" si="365"/>
        <v>E80600</v>
      </c>
      <c r="H1689" s="2" t="str">
        <f t="shared" si="366"/>
        <v>베올리아산업개발코리아 주식회사</v>
      </c>
      <c r="I1689" s="2" t="str">
        <f t="shared" si="364"/>
        <v>특수</v>
      </c>
    </row>
    <row r="1690" spans="1:9" x14ac:dyDescent="0.3">
      <c r="A1690" s="2" t="str">
        <f t="shared" si="362"/>
        <v>20251105</v>
      </c>
      <c r="B1690" s="2" t="str">
        <f>"40609992"</f>
        <v>40609992</v>
      </c>
      <c r="C1690" s="2" t="str">
        <f>"유진오"</f>
        <v>유진오</v>
      </c>
      <c r="D1690" s="2" t="str">
        <f t="shared" si="363"/>
        <v>M</v>
      </c>
      <c r="E1690" s="2" t="str">
        <f>"19710719"</f>
        <v>19710719</v>
      </c>
      <c r="F1690" s="2" t="str">
        <f>"54"</f>
        <v>54</v>
      </c>
      <c r="G1690" s="2" t="str">
        <f t="shared" si="365"/>
        <v>E80600</v>
      </c>
      <c r="H1690" s="2" t="str">
        <f t="shared" si="366"/>
        <v>베올리아산업개발코리아 주식회사</v>
      </c>
      <c r="I1690" s="2" t="str">
        <f t="shared" si="364"/>
        <v>특수</v>
      </c>
    </row>
    <row r="1691" spans="1:9" x14ac:dyDescent="0.3">
      <c r="A1691" s="2" t="str">
        <f t="shared" si="362"/>
        <v>20251105</v>
      </c>
      <c r="B1691" s="2" t="str">
        <f>"40968735"</f>
        <v>40968735</v>
      </c>
      <c r="C1691" s="2" t="str">
        <f>"전경식"</f>
        <v>전경식</v>
      </c>
      <c r="D1691" s="2" t="str">
        <f t="shared" si="363"/>
        <v>M</v>
      </c>
      <c r="E1691" s="2" t="str">
        <f>"19741212"</f>
        <v>19741212</v>
      </c>
      <c r="F1691" s="2" t="str">
        <f>"50"</f>
        <v>50</v>
      </c>
      <c r="G1691" s="2" t="str">
        <f t="shared" si="365"/>
        <v>E80600</v>
      </c>
      <c r="H1691" s="2" t="str">
        <f t="shared" si="366"/>
        <v>베올리아산업개발코리아 주식회사</v>
      </c>
      <c r="I1691" s="2" t="str">
        <f t="shared" si="364"/>
        <v>특수</v>
      </c>
    </row>
    <row r="1692" spans="1:9" x14ac:dyDescent="0.3">
      <c r="A1692" s="2" t="str">
        <f t="shared" ref="A1692:A1698" si="367">"20251111"</f>
        <v>20251111</v>
      </c>
      <c r="B1692" s="2" t="str">
        <f>"21016325"</f>
        <v>21016325</v>
      </c>
      <c r="C1692" s="2" t="str">
        <f>"박현우"</f>
        <v>박현우</v>
      </c>
      <c r="D1692" s="2" t="str">
        <f t="shared" si="363"/>
        <v>M</v>
      </c>
      <c r="E1692" s="2" t="str">
        <f>"19790303"</f>
        <v>19790303</v>
      </c>
      <c r="F1692" s="2" t="str">
        <f>"46"</f>
        <v>46</v>
      </c>
      <c r="G1692" s="2" t="str">
        <f t="shared" si="365"/>
        <v>E80600</v>
      </c>
      <c r="H1692" s="2" t="str">
        <f t="shared" si="366"/>
        <v>베올리아산업개발코리아 주식회사</v>
      </c>
      <c r="I1692" s="2" t="str">
        <f t="shared" si="364"/>
        <v>특수</v>
      </c>
    </row>
    <row r="1693" spans="1:9" x14ac:dyDescent="0.3">
      <c r="A1693" s="2" t="str">
        <f t="shared" si="367"/>
        <v>20251111</v>
      </c>
      <c r="B1693" s="2" t="str">
        <f>"28883234"</f>
        <v>28883234</v>
      </c>
      <c r="C1693" s="2" t="str">
        <f>"강정상"</f>
        <v>강정상</v>
      </c>
      <c r="D1693" s="2" t="str">
        <f t="shared" si="363"/>
        <v>M</v>
      </c>
      <c r="E1693" s="2" t="str">
        <f>"19721108"</f>
        <v>19721108</v>
      </c>
      <c r="F1693" s="2" t="str">
        <f>"53"</f>
        <v>53</v>
      </c>
      <c r="G1693" s="2" t="str">
        <f t="shared" si="365"/>
        <v>E80600</v>
      </c>
      <c r="H1693" s="2" t="str">
        <f t="shared" si="366"/>
        <v>베올리아산업개발코리아 주식회사</v>
      </c>
      <c r="I1693" s="2" t="str">
        <f t="shared" si="364"/>
        <v>특수</v>
      </c>
    </row>
    <row r="1694" spans="1:9" x14ac:dyDescent="0.3">
      <c r="A1694" s="2" t="str">
        <f t="shared" si="367"/>
        <v>20251111</v>
      </c>
      <c r="B1694" s="2" t="str">
        <f>"32229672"</f>
        <v>32229672</v>
      </c>
      <c r="C1694" s="2" t="str">
        <f>"채호진"</f>
        <v>채호진</v>
      </c>
      <c r="D1694" s="2" t="str">
        <f t="shared" si="363"/>
        <v>M</v>
      </c>
      <c r="E1694" s="2" t="str">
        <f>"19800129"</f>
        <v>19800129</v>
      </c>
      <c r="F1694" s="2" t="str">
        <f>"45"</f>
        <v>45</v>
      </c>
      <c r="G1694" s="2" t="str">
        <f t="shared" si="365"/>
        <v>E80600</v>
      </c>
      <c r="H1694" s="2" t="str">
        <f t="shared" si="366"/>
        <v>베올리아산업개발코리아 주식회사</v>
      </c>
      <c r="I1694" s="2" t="str">
        <f t="shared" si="364"/>
        <v>특수</v>
      </c>
    </row>
    <row r="1695" spans="1:9" x14ac:dyDescent="0.3">
      <c r="A1695" s="2" t="str">
        <f t="shared" si="367"/>
        <v>20251111</v>
      </c>
      <c r="B1695" s="2" t="str">
        <f>"34272636"</f>
        <v>34272636</v>
      </c>
      <c r="C1695" s="2" t="str">
        <f>"이민욱"</f>
        <v>이민욱</v>
      </c>
      <c r="D1695" s="2" t="str">
        <f t="shared" si="363"/>
        <v>M</v>
      </c>
      <c r="E1695" s="2" t="str">
        <f>"19830302"</f>
        <v>19830302</v>
      </c>
      <c r="F1695" s="2" t="str">
        <f>"42"</f>
        <v>42</v>
      </c>
      <c r="G1695" s="2" t="str">
        <f t="shared" si="365"/>
        <v>E80600</v>
      </c>
      <c r="H1695" s="2" t="str">
        <f t="shared" si="366"/>
        <v>베올리아산업개발코리아 주식회사</v>
      </c>
      <c r="I1695" s="2" t="str">
        <f t="shared" si="364"/>
        <v>특수</v>
      </c>
    </row>
    <row r="1696" spans="1:9" x14ac:dyDescent="0.3">
      <c r="A1696" s="2" t="str">
        <f t="shared" si="367"/>
        <v>20251111</v>
      </c>
      <c r="B1696" s="2" t="str">
        <f>"34272716"</f>
        <v>34272716</v>
      </c>
      <c r="C1696" s="2" t="str">
        <f>"김기정"</f>
        <v>김기정</v>
      </c>
      <c r="D1696" s="2" t="str">
        <f t="shared" si="363"/>
        <v>M</v>
      </c>
      <c r="E1696" s="2" t="str">
        <f>"19730525"</f>
        <v>19730525</v>
      </c>
      <c r="F1696" s="2" t="str">
        <f>"52"</f>
        <v>52</v>
      </c>
      <c r="G1696" s="2" t="str">
        <f t="shared" si="365"/>
        <v>E80600</v>
      </c>
      <c r="H1696" s="2" t="str">
        <f t="shared" si="366"/>
        <v>베올리아산업개발코리아 주식회사</v>
      </c>
      <c r="I1696" s="2" t="str">
        <f t="shared" si="364"/>
        <v>특수</v>
      </c>
    </row>
    <row r="1697" spans="1:9" x14ac:dyDescent="0.3">
      <c r="A1697" s="2" t="str">
        <f t="shared" si="367"/>
        <v>20251111</v>
      </c>
      <c r="B1697" s="2" t="str">
        <f>"35386913"</f>
        <v>35386913</v>
      </c>
      <c r="C1697" s="2" t="str">
        <f>"최성광"</f>
        <v>최성광</v>
      </c>
      <c r="D1697" s="2" t="str">
        <f t="shared" si="363"/>
        <v>M</v>
      </c>
      <c r="E1697" s="2" t="str">
        <f>"19731115"</f>
        <v>19731115</v>
      </c>
      <c r="F1697" s="2" t="str">
        <f>"52"</f>
        <v>52</v>
      </c>
      <c r="G1697" s="2" t="str">
        <f t="shared" si="365"/>
        <v>E80600</v>
      </c>
      <c r="H1697" s="2" t="str">
        <f t="shared" si="366"/>
        <v>베올리아산업개발코리아 주식회사</v>
      </c>
      <c r="I1697" s="2" t="str">
        <f t="shared" si="364"/>
        <v>특수</v>
      </c>
    </row>
    <row r="1698" spans="1:9" x14ac:dyDescent="0.3">
      <c r="A1698" s="2" t="str">
        <f t="shared" si="367"/>
        <v>20251111</v>
      </c>
      <c r="B1698" s="2" t="str">
        <f>"41166221"</f>
        <v>41166221</v>
      </c>
      <c r="C1698" s="2" t="str">
        <f>"문도윤"</f>
        <v>문도윤</v>
      </c>
      <c r="D1698" s="2" t="str">
        <f>"F"</f>
        <v>F</v>
      </c>
      <c r="E1698" s="2" t="str">
        <f>"20020808"</f>
        <v>20020808</v>
      </c>
      <c r="F1698" s="2" t="str">
        <f>"23"</f>
        <v>23</v>
      </c>
      <c r="G1698" s="2" t="str">
        <f>"E78660"</f>
        <v>E78660</v>
      </c>
      <c r="H1698" s="2" t="str">
        <f>"가톨릭대학교 서울성모병원"</f>
        <v>가톨릭대학교 서울성모병원</v>
      </c>
      <c r="I1698" s="2" t="str">
        <f>"배치전"</f>
        <v>배치전</v>
      </c>
    </row>
    <row r="1699" spans="1:9" x14ac:dyDescent="0.3">
      <c r="A1699" s="2" t="str">
        <f t="shared" ref="A1699:A1705" si="368">"20251112"</f>
        <v>20251112</v>
      </c>
      <c r="B1699" s="2" t="str">
        <f>"17122288"</f>
        <v>17122288</v>
      </c>
      <c r="C1699" s="2" t="str">
        <f>"황진희"</f>
        <v>황진희</v>
      </c>
      <c r="D1699" s="2" t="str">
        <f>"F"</f>
        <v>F</v>
      </c>
      <c r="E1699" s="2" t="str">
        <f>"19800427"</f>
        <v>19800427</v>
      </c>
      <c r="F1699" s="2" t="str">
        <f>"45"</f>
        <v>45</v>
      </c>
      <c r="G1699" s="2" t="str">
        <f>"E78660"</f>
        <v>E78660</v>
      </c>
      <c r="H1699" s="2" t="str">
        <f>"가톨릭대학교 서울성모병원"</f>
        <v>가톨릭대학교 서울성모병원</v>
      </c>
      <c r="I1699" s="2" t="str">
        <f t="shared" ref="I1699:I1705" si="369">"특수"</f>
        <v>특수</v>
      </c>
    </row>
    <row r="1700" spans="1:9" x14ac:dyDescent="0.3">
      <c r="A1700" s="2" t="str">
        <f t="shared" si="368"/>
        <v>20251112</v>
      </c>
      <c r="B1700" s="2" t="str">
        <f>"30748783"</f>
        <v>30748783</v>
      </c>
      <c r="C1700" s="2" t="str">
        <f>"전재현"</f>
        <v>전재현</v>
      </c>
      <c r="D1700" s="2" t="str">
        <f t="shared" ref="D1700:D1705" si="370">"M"</f>
        <v>M</v>
      </c>
      <c r="E1700" s="2" t="str">
        <f>"19871208"</f>
        <v>19871208</v>
      </c>
      <c r="F1700" s="2" t="str">
        <f>"37"</f>
        <v>37</v>
      </c>
      <c r="G1700" s="2" t="str">
        <f t="shared" ref="G1700:G1705" si="371">"E80600"</f>
        <v>E80600</v>
      </c>
      <c r="H1700" s="2" t="str">
        <f t="shared" ref="H1700:H1705" si="372">"베올리아산업개발코리아 주식회사"</f>
        <v>베올리아산업개발코리아 주식회사</v>
      </c>
      <c r="I1700" s="2" t="str">
        <f t="shared" si="369"/>
        <v>특수</v>
      </c>
    </row>
    <row r="1701" spans="1:9" x14ac:dyDescent="0.3">
      <c r="A1701" s="2" t="str">
        <f t="shared" si="368"/>
        <v>20251112</v>
      </c>
      <c r="B1701" s="2" t="str">
        <f>"33720552"</f>
        <v>33720552</v>
      </c>
      <c r="C1701" s="2" t="str">
        <f>"고근화"</f>
        <v>고근화</v>
      </c>
      <c r="D1701" s="2" t="str">
        <f t="shared" si="370"/>
        <v>M</v>
      </c>
      <c r="E1701" s="2" t="str">
        <f>"19640103"</f>
        <v>19640103</v>
      </c>
      <c r="F1701" s="2" t="str">
        <f>"61"</f>
        <v>61</v>
      </c>
      <c r="G1701" s="2" t="str">
        <f t="shared" si="371"/>
        <v>E80600</v>
      </c>
      <c r="H1701" s="2" t="str">
        <f t="shared" si="372"/>
        <v>베올리아산업개발코리아 주식회사</v>
      </c>
      <c r="I1701" s="2" t="str">
        <f t="shared" si="369"/>
        <v>특수</v>
      </c>
    </row>
    <row r="1702" spans="1:9" x14ac:dyDescent="0.3">
      <c r="A1702" s="2" t="str">
        <f t="shared" si="368"/>
        <v>20251112</v>
      </c>
      <c r="B1702" s="2" t="str">
        <f>"3680062"</f>
        <v>3680062</v>
      </c>
      <c r="C1702" s="2" t="str">
        <f>"신대경"</f>
        <v>신대경</v>
      </c>
      <c r="D1702" s="2" t="str">
        <f t="shared" si="370"/>
        <v>M</v>
      </c>
      <c r="E1702" s="2" t="str">
        <f>"19850811"</f>
        <v>19850811</v>
      </c>
      <c r="F1702" s="2" t="str">
        <f>"40"</f>
        <v>40</v>
      </c>
      <c r="G1702" s="2" t="str">
        <f t="shared" si="371"/>
        <v>E80600</v>
      </c>
      <c r="H1702" s="2" t="str">
        <f t="shared" si="372"/>
        <v>베올리아산업개발코리아 주식회사</v>
      </c>
      <c r="I1702" s="2" t="str">
        <f t="shared" si="369"/>
        <v>특수</v>
      </c>
    </row>
    <row r="1703" spans="1:9" x14ac:dyDescent="0.3">
      <c r="A1703" s="2" t="str">
        <f t="shared" si="368"/>
        <v>20251112</v>
      </c>
      <c r="B1703" s="2" t="str">
        <f>"37489280"</f>
        <v>37489280</v>
      </c>
      <c r="C1703" s="2" t="str">
        <f>"박성경"</f>
        <v>박성경</v>
      </c>
      <c r="D1703" s="2" t="str">
        <f t="shared" si="370"/>
        <v>M</v>
      </c>
      <c r="E1703" s="2" t="str">
        <f>"19700919"</f>
        <v>19700919</v>
      </c>
      <c r="F1703" s="2" t="str">
        <f>"55"</f>
        <v>55</v>
      </c>
      <c r="G1703" s="2" t="str">
        <f t="shared" si="371"/>
        <v>E80600</v>
      </c>
      <c r="H1703" s="2" t="str">
        <f t="shared" si="372"/>
        <v>베올리아산업개발코리아 주식회사</v>
      </c>
      <c r="I1703" s="2" t="str">
        <f t="shared" si="369"/>
        <v>특수</v>
      </c>
    </row>
    <row r="1704" spans="1:9" x14ac:dyDescent="0.3">
      <c r="A1704" s="2" t="str">
        <f t="shared" si="368"/>
        <v>20251112</v>
      </c>
      <c r="B1704" s="2" t="str">
        <f>"38614024"</f>
        <v>38614024</v>
      </c>
      <c r="C1704" s="2" t="str">
        <f>"민현기"</f>
        <v>민현기</v>
      </c>
      <c r="D1704" s="2" t="str">
        <f t="shared" si="370"/>
        <v>M</v>
      </c>
      <c r="E1704" s="2" t="str">
        <f>"19680121"</f>
        <v>19680121</v>
      </c>
      <c r="F1704" s="2" t="str">
        <f>"57"</f>
        <v>57</v>
      </c>
      <c r="G1704" s="2" t="str">
        <f t="shared" si="371"/>
        <v>E80600</v>
      </c>
      <c r="H1704" s="2" t="str">
        <f t="shared" si="372"/>
        <v>베올리아산업개발코리아 주식회사</v>
      </c>
      <c r="I1704" s="2" t="str">
        <f t="shared" si="369"/>
        <v>특수</v>
      </c>
    </row>
    <row r="1705" spans="1:9" x14ac:dyDescent="0.3">
      <c r="A1705" s="2" t="str">
        <f t="shared" si="368"/>
        <v>20251112</v>
      </c>
      <c r="B1705" s="2" t="str">
        <f>"39552650"</f>
        <v>39552650</v>
      </c>
      <c r="C1705" s="2" t="str">
        <f>"홍재엽"</f>
        <v>홍재엽</v>
      </c>
      <c r="D1705" s="2" t="str">
        <f t="shared" si="370"/>
        <v>M</v>
      </c>
      <c r="E1705" s="2" t="str">
        <f>"19750206"</f>
        <v>19750206</v>
      </c>
      <c r="F1705" s="2" t="str">
        <f>"50"</f>
        <v>50</v>
      </c>
      <c r="G1705" s="2" t="str">
        <f t="shared" si="371"/>
        <v>E80600</v>
      </c>
      <c r="H1705" s="2" t="str">
        <f t="shared" si="372"/>
        <v>베올리아산업개발코리아 주식회사</v>
      </c>
      <c r="I1705" s="2" t="str">
        <f t="shared" si="369"/>
        <v>특수</v>
      </c>
    </row>
    <row r="1706" spans="1:9" x14ac:dyDescent="0.3">
      <c r="A1706" s="2" t="str">
        <f>"20251118"</f>
        <v>20251118</v>
      </c>
      <c r="B1706" s="2" t="str">
        <f>"17479705"</f>
        <v>17479705</v>
      </c>
      <c r="C1706" s="2" t="str">
        <f>"정민"</f>
        <v>정민</v>
      </c>
      <c r="D1706" s="2" t="str">
        <f t="shared" ref="D1706:D1715" si="373">"F"</f>
        <v>F</v>
      </c>
      <c r="E1706" s="2" t="str">
        <f>"19811222"</f>
        <v>19811222</v>
      </c>
      <c r="F1706" s="2" t="str">
        <f>"43"</f>
        <v>43</v>
      </c>
      <c r="G1706" s="2" t="str">
        <f t="shared" ref="G1706:G1719" si="374">"E78660"</f>
        <v>E78660</v>
      </c>
      <c r="H1706" s="2" t="str">
        <f t="shared" ref="H1706:H1719" si="375">"가톨릭대학교 서울성모병원"</f>
        <v>가톨릭대학교 서울성모병원</v>
      </c>
      <c r="I1706" s="2" t="str">
        <f>"배치전"</f>
        <v>배치전</v>
      </c>
    </row>
    <row r="1707" spans="1:9" x14ac:dyDescent="0.3">
      <c r="A1707" s="2" t="str">
        <f>"20251118"</f>
        <v>20251118</v>
      </c>
      <c r="B1707" s="2" t="str">
        <f>"24194284"</f>
        <v>24194284</v>
      </c>
      <c r="C1707" s="2" t="str">
        <f>"성수연"</f>
        <v>성수연</v>
      </c>
      <c r="D1707" s="2" t="str">
        <f t="shared" si="373"/>
        <v>F</v>
      </c>
      <c r="E1707" s="2" t="str">
        <f>"19870919"</f>
        <v>19870919</v>
      </c>
      <c r="F1707" s="2" t="str">
        <f>"38"</f>
        <v>38</v>
      </c>
      <c r="G1707" s="2" t="str">
        <f t="shared" si="374"/>
        <v>E78660</v>
      </c>
      <c r="H1707" s="2" t="str">
        <f t="shared" si="375"/>
        <v>가톨릭대학교 서울성모병원</v>
      </c>
      <c r="I1707" s="2" t="str">
        <f>"배치전"</f>
        <v>배치전</v>
      </c>
    </row>
    <row r="1708" spans="1:9" x14ac:dyDescent="0.3">
      <c r="A1708" s="2" t="str">
        <f>"20251118"</f>
        <v>20251118</v>
      </c>
      <c r="B1708" s="2" t="str">
        <f>"25051912"</f>
        <v>25051912</v>
      </c>
      <c r="C1708" s="2" t="str">
        <f>"위은별"</f>
        <v>위은별</v>
      </c>
      <c r="D1708" s="2" t="str">
        <f t="shared" si="373"/>
        <v>F</v>
      </c>
      <c r="E1708" s="2" t="str">
        <f>"19930406"</f>
        <v>19930406</v>
      </c>
      <c r="F1708" s="2" t="str">
        <f>"32"</f>
        <v>32</v>
      </c>
      <c r="G1708" s="2" t="str">
        <f t="shared" si="374"/>
        <v>E78660</v>
      </c>
      <c r="H1708" s="2" t="str">
        <f t="shared" si="375"/>
        <v>가톨릭대학교 서울성모병원</v>
      </c>
      <c r="I1708" s="2" t="str">
        <f>"배치후"</f>
        <v>배치후</v>
      </c>
    </row>
    <row r="1709" spans="1:9" x14ac:dyDescent="0.3">
      <c r="A1709" s="2" t="str">
        <f>"20251118"</f>
        <v>20251118</v>
      </c>
      <c r="B1709" s="2" t="str">
        <f>"40033151"</f>
        <v>40033151</v>
      </c>
      <c r="C1709" s="2" t="str">
        <f>"김유선"</f>
        <v>김유선</v>
      </c>
      <c r="D1709" s="2" t="str">
        <f t="shared" si="373"/>
        <v>F</v>
      </c>
      <c r="E1709" s="2" t="str">
        <f>"19811114"</f>
        <v>19811114</v>
      </c>
      <c r="F1709" s="2" t="str">
        <f>"44"</f>
        <v>44</v>
      </c>
      <c r="G1709" s="2" t="str">
        <f t="shared" si="374"/>
        <v>E78660</v>
      </c>
      <c r="H1709" s="2" t="str">
        <f t="shared" si="375"/>
        <v>가톨릭대학교 서울성모병원</v>
      </c>
      <c r="I1709" s="2" t="str">
        <f>"배치전"</f>
        <v>배치전</v>
      </c>
    </row>
    <row r="1710" spans="1:9" x14ac:dyDescent="0.3">
      <c r="A1710" s="2" t="str">
        <f>"20251118"</f>
        <v>20251118</v>
      </c>
      <c r="B1710" s="2" t="str">
        <f>"41424774"</f>
        <v>41424774</v>
      </c>
      <c r="C1710" s="2" t="str">
        <f>"이선영"</f>
        <v>이선영</v>
      </c>
      <c r="D1710" s="2" t="str">
        <f t="shared" si="373"/>
        <v>F</v>
      </c>
      <c r="E1710" s="2" t="str">
        <f>"19690505"</f>
        <v>19690505</v>
      </c>
      <c r="F1710" s="2" t="str">
        <f>"56"</f>
        <v>56</v>
      </c>
      <c r="G1710" s="2" t="str">
        <f t="shared" si="374"/>
        <v>E78660</v>
      </c>
      <c r="H1710" s="2" t="str">
        <f t="shared" si="375"/>
        <v>가톨릭대학교 서울성모병원</v>
      </c>
      <c r="I1710" s="2" t="str">
        <f>"배치전"</f>
        <v>배치전</v>
      </c>
    </row>
    <row r="1711" spans="1:9" x14ac:dyDescent="0.3">
      <c r="A1711" s="2" t="str">
        <f t="shared" ref="A1711:A1719" si="376">"20251119"</f>
        <v>20251119</v>
      </c>
      <c r="B1711" s="2" t="str">
        <f>"16944408"</f>
        <v>16944408</v>
      </c>
      <c r="C1711" s="2" t="str">
        <f>"나현아"</f>
        <v>나현아</v>
      </c>
      <c r="D1711" s="2" t="str">
        <f t="shared" si="373"/>
        <v>F</v>
      </c>
      <c r="E1711" s="2" t="str">
        <f>"19820705"</f>
        <v>19820705</v>
      </c>
      <c r="F1711" s="2" t="str">
        <f>"43"</f>
        <v>43</v>
      </c>
      <c r="G1711" s="2" t="str">
        <f t="shared" si="374"/>
        <v>E78660</v>
      </c>
      <c r="H1711" s="2" t="str">
        <f t="shared" si="375"/>
        <v>가톨릭대학교 서울성모병원</v>
      </c>
      <c r="I1711" s="2" t="str">
        <f>"배치후"</f>
        <v>배치후</v>
      </c>
    </row>
    <row r="1712" spans="1:9" x14ac:dyDescent="0.3">
      <c r="A1712" s="2" t="str">
        <f t="shared" si="376"/>
        <v>20251119</v>
      </c>
      <c r="B1712" s="2" t="str">
        <f>"29932182"</f>
        <v>29932182</v>
      </c>
      <c r="C1712" s="2" t="str">
        <f>"조아인"</f>
        <v>조아인</v>
      </c>
      <c r="D1712" s="2" t="str">
        <f t="shared" si="373"/>
        <v>F</v>
      </c>
      <c r="E1712" s="2" t="str">
        <f>"19840413"</f>
        <v>19840413</v>
      </c>
      <c r="F1712" s="2" t="str">
        <f>"41"</f>
        <v>41</v>
      </c>
      <c r="G1712" s="2" t="str">
        <f t="shared" si="374"/>
        <v>E78660</v>
      </c>
      <c r="H1712" s="2" t="str">
        <f t="shared" si="375"/>
        <v>가톨릭대학교 서울성모병원</v>
      </c>
      <c r="I1712" s="2" t="str">
        <f>"배치전"</f>
        <v>배치전</v>
      </c>
    </row>
    <row r="1713" spans="1:9" x14ac:dyDescent="0.3">
      <c r="A1713" s="2" t="str">
        <f t="shared" si="376"/>
        <v>20251119</v>
      </c>
      <c r="B1713" s="2" t="str">
        <f>"40733962"</f>
        <v>40733962</v>
      </c>
      <c r="C1713" s="2" t="str">
        <f>"최유진"</f>
        <v>최유진</v>
      </c>
      <c r="D1713" s="2" t="str">
        <f t="shared" si="373"/>
        <v>F</v>
      </c>
      <c r="E1713" s="2" t="str">
        <f>"19900520"</f>
        <v>19900520</v>
      </c>
      <c r="F1713" s="2" t="str">
        <f>"35"</f>
        <v>35</v>
      </c>
      <c r="G1713" s="2" t="str">
        <f t="shared" si="374"/>
        <v>E78660</v>
      </c>
      <c r="H1713" s="2" t="str">
        <f t="shared" si="375"/>
        <v>가톨릭대학교 서울성모병원</v>
      </c>
      <c r="I1713" s="2" t="str">
        <f>"배치전"</f>
        <v>배치전</v>
      </c>
    </row>
    <row r="1714" spans="1:9" x14ac:dyDescent="0.3">
      <c r="A1714" s="2" t="str">
        <f t="shared" si="376"/>
        <v>20251119</v>
      </c>
      <c r="B1714" s="2" t="str">
        <f>"40944143"</f>
        <v>40944143</v>
      </c>
      <c r="C1714" s="2" t="str">
        <f>"김지솔"</f>
        <v>김지솔</v>
      </c>
      <c r="D1714" s="2" t="str">
        <f t="shared" si="373"/>
        <v>F</v>
      </c>
      <c r="E1714" s="2" t="str">
        <f>"19970630"</f>
        <v>19970630</v>
      </c>
      <c r="F1714" s="2" t="str">
        <f>"28"</f>
        <v>28</v>
      </c>
      <c r="G1714" s="2" t="str">
        <f t="shared" si="374"/>
        <v>E78660</v>
      </c>
      <c r="H1714" s="2" t="str">
        <f t="shared" si="375"/>
        <v>가톨릭대학교 서울성모병원</v>
      </c>
      <c r="I1714" s="2" t="str">
        <f>"배치후"</f>
        <v>배치후</v>
      </c>
    </row>
    <row r="1715" spans="1:9" x14ac:dyDescent="0.3">
      <c r="A1715" s="2" t="str">
        <f t="shared" si="376"/>
        <v>20251119</v>
      </c>
      <c r="B1715" s="2" t="str">
        <f>"41165894"</f>
        <v>41165894</v>
      </c>
      <c r="C1715" s="2" t="str">
        <f>"김민재"</f>
        <v>김민재</v>
      </c>
      <c r="D1715" s="2" t="str">
        <f t="shared" si="373"/>
        <v>F</v>
      </c>
      <c r="E1715" s="2" t="str">
        <f>"20020108"</f>
        <v>20020108</v>
      </c>
      <c r="F1715" s="2" t="str">
        <f>"23"</f>
        <v>23</v>
      </c>
      <c r="G1715" s="2" t="str">
        <f t="shared" si="374"/>
        <v>E78660</v>
      </c>
      <c r="H1715" s="2" t="str">
        <f t="shared" si="375"/>
        <v>가톨릭대학교 서울성모병원</v>
      </c>
      <c r="I1715" s="2" t="str">
        <f>"배치전"</f>
        <v>배치전</v>
      </c>
    </row>
    <row r="1716" spans="1:9" x14ac:dyDescent="0.3">
      <c r="A1716" s="2" t="str">
        <f t="shared" si="376"/>
        <v>20251119</v>
      </c>
      <c r="B1716" s="2" t="str">
        <f>"41495865"</f>
        <v>41495865</v>
      </c>
      <c r="C1716" s="2" t="str">
        <f>"최석호"</f>
        <v>최석호</v>
      </c>
      <c r="D1716" s="2" t="str">
        <f>"M"</f>
        <v>M</v>
      </c>
      <c r="E1716" s="2" t="str">
        <f>"20000128"</f>
        <v>20000128</v>
      </c>
      <c r="F1716" s="2" t="str">
        <f>"25"</f>
        <v>25</v>
      </c>
      <c r="G1716" s="2" t="str">
        <f t="shared" si="374"/>
        <v>E78660</v>
      </c>
      <c r="H1716" s="2" t="str">
        <f t="shared" si="375"/>
        <v>가톨릭대학교 서울성모병원</v>
      </c>
      <c r="I1716" s="2" t="str">
        <f>"배치전"</f>
        <v>배치전</v>
      </c>
    </row>
    <row r="1717" spans="1:9" x14ac:dyDescent="0.3">
      <c r="A1717" s="2" t="str">
        <f t="shared" si="376"/>
        <v>20251119</v>
      </c>
      <c r="B1717" s="2" t="str">
        <f>"41495874"</f>
        <v>41495874</v>
      </c>
      <c r="C1717" s="2" t="str">
        <f>"이혜린"</f>
        <v>이혜린</v>
      </c>
      <c r="D1717" s="2" t="str">
        <f>"F"</f>
        <v>F</v>
      </c>
      <c r="E1717" s="2" t="str">
        <f>"20000415"</f>
        <v>20000415</v>
      </c>
      <c r="F1717" s="2" t="str">
        <f>"25"</f>
        <v>25</v>
      </c>
      <c r="G1717" s="2" t="str">
        <f t="shared" si="374"/>
        <v>E78660</v>
      </c>
      <c r="H1717" s="2" t="str">
        <f t="shared" si="375"/>
        <v>가톨릭대학교 서울성모병원</v>
      </c>
      <c r="I1717" s="2" t="str">
        <f>"배치전"</f>
        <v>배치전</v>
      </c>
    </row>
    <row r="1718" spans="1:9" x14ac:dyDescent="0.3">
      <c r="A1718" s="2" t="str">
        <f t="shared" si="376"/>
        <v>20251119</v>
      </c>
      <c r="B1718" s="2" t="str">
        <f>"41505904"</f>
        <v>41505904</v>
      </c>
      <c r="C1718" s="2" t="str">
        <f>"박소연"</f>
        <v>박소연</v>
      </c>
      <c r="D1718" s="2" t="str">
        <f>"F"</f>
        <v>F</v>
      </c>
      <c r="E1718" s="2" t="str">
        <f>"19981126"</f>
        <v>19981126</v>
      </c>
      <c r="F1718" s="2" t="str">
        <f>"27"</f>
        <v>27</v>
      </c>
      <c r="G1718" s="2" t="str">
        <f t="shared" si="374"/>
        <v>E78660</v>
      </c>
      <c r="H1718" s="2" t="str">
        <f t="shared" si="375"/>
        <v>가톨릭대학교 서울성모병원</v>
      </c>
      <c r="I1718" s="2" t="str">
        <f>"배치전"</f>
        <v>배치전</v>
      </c>
    </row>
    <row r="1719" spans="1:9" x14ac:dyDescent="0.3">
      <c r="A1719" s="2" t="str">
        <f t="shared" si="376"/>
        <v>20251119</v>
      </c>
      <c r="B1719" s="2" t="str">
        <f>"41505916"</f>
        <v>41505916</v>
      </c>
      <c r="C1719" s="2" t="str">
        <f>"손규원"</f>
        <v>손규원</v>
      </c>
      <c r="D1719" s="2" t="str">
        <f>"F"</f>
        <v>F</v>
      </c>
      <c r="E1719" s="2" t="str">
        <f>"19901106"</f>
        <v>19901106</v>
      </c>
      <c r="F1719" s="2" t="str">
        <f>"35"</f>
        <v>35</v>
      </c>
      <c r="G1719" s="2" t="str">
        <f t="shared" si="374"/>
        <v>E78660</v>
      </c>
      <c r="H1719" s="2" t="str">
        <f t="shared" si="375"/>
        <v>가톨릭대학교 서울성모병원</v>
      </c>
      <c r="I1719" s="2" t="str">
        <f>"배치전"</f>
        <v>배치전</v>
      </c>
    </row>
    <row r="1720" spans="1:9" x14ac:dyDescent="0.3">
      <c r="A1720" s="2" t="str">
        <f t="shared" ref="A1720:A1728" si="377">"20251125"</f>
        <v>20251125</v>
      </c>
      <c r="B1720" s="2" t="str">
        <f>"28403062"</f>
        <v>28403062</v>
      </c>
      <c r="C1720" s="2" t="str">
        <f>"김명산"</f>
        <v>김명산</v>
      </c>
      <c r="D1720" s="2" t="str">
        <f>"M"</f>
        <v>M</v>
      </c>
      <c r="E1720" s="2" t="str">
        <f>"19710626"</f>
        <v>19710626</v>
      </c>
      <c r="F1720" s="2" t="str">
        <f>"54"</f>
        <v>54</v>
      </c>
      <c r="G1720" s="2" t="str">
        <f>"E80600"</f>
        <v>E80600</v>
      </c>
      <c r="H1720" s="2" t="str">
        <f>"베올리아산업개발코리아 주식회사"</f>
        <v>베올리아산업개발코리아 주식회사</v>
      </c>
      <c r="I1720" s="2" t="str">
        <f>"특수"</f>
        <v>특수</v>
      </c>
    </row>
    <row r="1721" spans="1:9" x14ac:dyDescent="0.3">
      <c r="A1721" s="2" t="str">
        <f t="shared" si="377"/>
        <v>20251125</v>
      </c>
      <c r="B1721" s="2" t="str">
        <f>"28981553"</f>
        <v>28981553</v>
      </c>
      <c r="C1721" s="2" t="str">
        <f>"최고현"</f>
        <v>최고현</v>
      </c>
      <c r="D1721" s="2" t="str">
        <f>"F"</f>
        <v>F</v>
      </c>
      <c r="E1721" s="2" t="str">
        <f>"19920629"</f>
        <v>19920629</v>
      </c>
      <c r="F1721" s="2" t="str">
        <f>"33"</f>
        <v>33</v>
      </c>
      <c r="G1721" s="2" t="str">
        <f>"E78660"</f>
        <v>E78660</v>
      </c>
      <c r="H1721" s="2" t="str">
        <f>"가톨릭대학교 서울성모병원"</f>
        <v>가톨릭대학교 서울성모병원</v>
      </c>
      <c r="I1721" s="2" t="str">
        <f>"배치전"</f>
        <v>배치전</v>
      </c>
    </row>
    <row r="1722" spans="1:9" x14ac:dyDescent="0.3">
      <c r="A1722" s="2" t="str">
        <f t="shared" si="377"/>
        <v>20251125</v>
      </c>
      <c r="B1722" s="2" t="str">
        <f>"29474873"</f>
        <v>29474873</v>
      </c>
      <c r="C1722" s="2" t="str">
        <f>"함준호"</f>
        <v>함준호</v>
      </c>
      <c r="D1722" s="2" t="str">
        <f>"M"</f>
        <v>M</v>
      </c>
      <c r="E1722" s="2" t="str">
        <f>"19850629"</f>
        <v>19850629</v>
      </c>
      <c r="F1722" s="2" t="str">
        <f>"40"</f>
        <v>40</v>
      </c>
      <c r="G1722" s="2" t="str">
        <f>"E80600"</f>
        <v>E80600</v>
      </c>
      <c r="H1722" s="2" t="str">
        <f>"베올리아산업개발코리아 주식회사"</f>
        <v>베올리아산업개발코리아 주식회사</v>
      </c>
      <c r="I1722" s="2" t="str">
        <f>"특수"</f>
        <v>특수</v>
      </c>
    </row>
    <row r="1723" spans="1:9" x14ac:dyDescent="0.3">
      <c r="A1723" s="2" t="str">
        <f t="shared" si="377"/>
        <v>20251125</v>
      </c>
      <c r="B1723" s="2" t="str">
        <f>"35733095"</f>
        <v>35733095</v>
      </c>
      <c r="C1723" s="2" t="str">
        <f>"정희원"</f>
        <v>정희원</v>
      </c>
      <c r="D1723" s="2" t="str">
        <f>"F"</f>
        <v>F</v>
      </c>
      <c r="E1723" s="2" t="str">
        <f>"20020703"</f>
        <v>20020703</v>
      </c>
      <c r="F1723" s="2" t="str">
        <f>"23"</f>
        <v>23</v>
      </c>
      <c r="G1723" s="2" t="str">
        <f>"E78660"</f>
        <v>E78660</v>
      </c>
      <c r="H1723" s="2" t="str">
        <f>"가톨릭대학교 서울성모병원"</f>
        <v>가톨릭대학교 서울성모병원</v>
      </c>
      <c r="I1723" s="2" t="str">
        <f>"배치후"</f>
        <v>배치후</v>
      </c>
    </row>
    <row r="1724" spans="1:9" x14ac:dyDescent="0.3">
      <c r="A1724" s="2" t="str">
        <f t="shared" si="377"/>
        <v>20251125</v>
      </c>
      <c r="B1724" s="2" t="str">
        <f>"38704275"</f>
        <v>38704275</v>
      </c>
      <c r="C1724" s="2" t="str">
        <f>"황규범"</f>
        <v>황규범</v>
      </c>
      <c r="D1724" s="2" t="str">
        <f>"M"</f>
        <v>M</v>
      </c>
      <c r="E1724" s="2" t="str">
        <f>"19970708"</f>
        <v>19970708</v>
      </c>
      <c r="F1724" s="2" t="str">
        <f>"28"</f>
        <v>28</v>
      </c>
      <c r="G1724" s="2" t="str">
        <f>"E80600"</f>
        <v>E80600</v>
      </c>
      <c r="H1724" s="2" t="str">
        <f>"베올리아산업개발코리아 주식회사"</f>
        <v>베올리아산업개발코리아 주식회사</v>
      </c>
      <c r="I1724" s="2" t="str">
        <f>"특수"</f>
        <v>특수</v>
      </c>
    </row>
    <row r="1725" spans="1:9" x14ac:dyDescent="0.3">
      <c r="A1725" s="2" t="str">
        <f t="shared" si="377"/>
        <v>20251125</v>
      </c>
      <c r="B1725" s="2" t="str">
        <f>"39163182"</f>
        <v>39163182</v>
      </c>
      <c r="C1725" s="2" t="str">
        <f>"성형진"</f>
        <v>성형진</v>
      </c>
      <c r="D1725" s="2" t="str">
        <f>"M"</f>
        <v>M</v>
      </c>
      <c r="E1725" s="2" t="str">
        <f>"19690808"</f>
        <v>19690808</v>
      </c>
      <c r="F1725" s="2" t="str">
        <f>"56"</f>
        <v>56</v>
      </c>
      <c r="G1725" s="2" t="str">
        <f>"E80600"</f>
        <v>E80600</v>
      </c>
      <c r="H1725" s="2" t="str">
        <f>"베올리아산업개발코리아 주식회사"</f>
        <v>베올리아산업개발코리아 주식회사</v>
      </c>
      <c r="I1725" s="2" t="str">
        <f>"특수"</f>
        <v>특수</v>
      </c>
    </row>
    <row r="1726" spans="1:9" x14ac:dyDescent="0.3">
      <c r="A1726" s="2" t="str">
        <f t="shared" si="377"/>
        <v>20251125</v>
      </c>
      <c r="B1726" s="2" t="str">
        <f>"40972756"</f>
        <v>40972756</v>
      </c>
      <c r="C1726" s="2" t="str">
        <f>"서지수"</f>
        <v>서지수</v>
      </c>
      <c r="D1726" s="2" t="str">
        <f>"F"</f>
        <v>F</v>
      </c>
      <c r="E1726" s="2" t="str">
        <f>"20000412"</f>
        <v>20000412</v>
      </c>
      <c r="F1726" s="2" t="str">
        <f>"25"</f>
        <v>25</v>
      </c>
      <c r="G1726" s="2" t="str">
        <f>"E78660"</f>
        <v>E78660</v>
      </c>
      <c r="H1726" s="2" t="str">
        <f>"가톨릭대학교 서울성모병원"</f>
        <v>가톨릭대학교 서울성모병원</v>
      </c>
      <c r="I1726" s="2" t="str">
        <f>"배치후"</f>
        <v>배치후</v>
      </c>
    </row>
    <row r="1727" spans="1:9" x14ac:dyDescent="0.3">
      <c r="A1727" s="2" t="str">
        <f t="shared" si="377"/>
        <v>20251125</v>
      </c>
      <c r="B1727" s="2" t="str">
        <f>"40975121"</f>
        <v>40975121</v>
      </c>
      <c r="C1727" s="2" t="str">
        <f>"승재헌"</f>
        <v>승재헌</v>
      </c>
      <c r="D1727" s="2" t="str">
        <f>"M"</f>
        <v>M</v>
      </c>
      <c r="E1727" s="2" t="str">
        <f>"19820717"</f>
        <v>19820717</v>
      </c>
      <c r="F1727" s="2" t="str">
        <f>"43"</f>
        <v>43</v>
      </c>
      <c r="G1727" s="2" t="str">
        <f>"E80600"</f>
        <v>E80600</v>
      </c>
      <c r="H1727" s="2" t="str">
        <f>"베올리아산업개발코리아 주식회사"</f>
        <v>베올리아산업개발코리아 주식회사</v>
      </c>
      <c r="I1727" s="2" t="str">
        <f>"특수"</f>
        <v>특수</v>
      </c>
    </row>
    <row r="1728" spans="1:9" x14ac:dyDescent="0.3">
      <c r="A1728" s="2" t="str">
        <f t="shared" si="377"/>
        <v>20251125</v>
      </c>
      <c r="B1728" s="2" t="str">
        <f>"41166811"</f>
        <v>41166811</v>
      </c>
      <c r="C1728" s="2" t="str">
        <f>"이승희"</f>
        <v>이승희</v>
      </c>
      <c r="D1728" s="2" t="str">
        <f>"F"</f>
        <v>F</v>
      </c>
      <c r="E1728" s="2" t="str">
        <f>"20000303"</f>
        <v>20000303</v>
      </c>
      <c r="F1728" s="2" t="str">
        <f>"25"</f>
        <v>25</v>
      </c>
      <c r="G1728" s="2" t="str">
        <f t="shared" ref="G1728:G1752" si="378">"E78660"</f>
        <v>E78660</v>
      </c>
      <c r="H1728" s="2" t="str">
        <f t="shared" ref="H1728:H1752" si="379">"가톨릭대학교 서울성모병원"</f>
        <v>가톨릭대학교 서울성모병원</v>
      </c>
      <c r="I1728" s="2" t="str">
        <f>"배치전"</f>
        <v>배치전</v>
      </c>
    </row>
    <row r="1729" spans="1:9" x14ac:dyDescent="0.3">
      <c r="A1729" s="2" t="str">
        <f t="shared" ref="A1729:A1736" si="380">"20251126"</f>
        <v>20251126</v>
      </c>
      <c r="B1729" s="2" t="str">
        <f>"28506865"</f>
        <v>28506865</v>
      </c>
      <c r="C1729" s="2" t="str">
        <f>"이소희"</f>
        <v>이소희</v>
      </c>
      <c r="D1729" s="2" t="str">
        <f>"F"</f>
        <v>F</v>
      </c>
      <c r="E1729" s="2" t="str">
        <f>"19871010"</f>
        <v>19871010</v>
      </c>
      <c r="F1729" s="2" t="str">
        <f>"38"</f>
        <v>38</v>
      </c>
      <c r="G1729" s="2" t="str">
        <f t="shared" si="378"/>
        <v>E78660</v>
      </c>
      <c r="H1729" s="2" t="str">
        <f t="shared" si="379"/>
        <v>가톨릭대학교 서울성모병원</v>
      </c>
      <c r="I1729" s="2" t="str">
        <f>"배치전"</f>
        <v>배치전</v>
      </c>
    </row>
    <row r="1730" spans="1:9" x14ac:dyDescent="0.3">
      <c r="A1730" s="2" t="str">
        <f t="shared" si="380"/>
        <v>20251126</v>
      </c>
      <c r="B1730" s="2" t="str">
        <f>"31839846"</f>
        <v>31839846</v>
      </c>
      <c r="C1730" s="2" t="str">
        <f>"고예원"</f>
        <v>고예원</v>
      </c>
      <c r="D1730" s="2" t="str">
        <f>"F"</f>
        <v>F</v>
      </c>
      <c r="E1730" s="2" t="str">
        <f>"19960125"</f>
        <v>19960125</v>
      </c>
      <c r="F1730" s="2" t="str">
        <f>"29"</f>
        <v>29</v>
      </c>
      <c r="G1730" s="2" t="str">
        <f t="shared" si="378"/>
        <v>E78660</v>
      </c>
      <c r="H1730" s="2" t="str">
        <f t="shared" si="379"/>
        <v>가톨릭대학교 서울성모병원</v>
      </c>
      <c r="I1730" s="2" t="str">
        <f>"배치전"</f>
        <v>배치전</v>
      </c>
    </row>
    <row r="1731" spans="1:9" x14ac:dyDescent="0.3">
      <c r="A1731" s="2" t="str">
        <f t="shared" si="380"/>
        <v>20251126</v>
      </c>
      <c r="B1731" s="2" t="str">
        <f>"31840083"</f>
        <v>31840083</v>
      </c>
      <c r="C1731" s="2" t="str">
        <f>"박소영"</f>
        <v>박소영</v>
      </c>
      <c r="D1731" s="2" t="str">
        <f>"F"</f>
        <v>F</v>
      </c>
      <c r="E1731" s="2" t="str">
        <f>"19950411"</f>
        <v>19950411</v>
      </c>
      <c r="F1731" s="2" t="str">
        <f>"30"</f>
        <v>30</v>
      </c>
      <c r="G1731" s="2" t="str">
        <f t="shared" si="378"/>
        <v>E78660</v>
      </c>
      <c r="H1731" s="2" t="str">
        <f t="shared" si="379"/>
        <v>가톨릭대학교 서울성모병원</v>
      </c>
      <c r="I1731" s="2" t="str">
        <f>"배치후"</f>
        <v>배치후</v>
      </c>
    </row>
    <row r="1732" spans="1:9" x14ac:dyDescent="0.3">
      <c r="A1732" s="2" t="str">
        <f t="shared" si="380"/>
        <v>20251126</v>
      </c>
      <c r="B1732" s="2" t="str">
        <f>"35142396"</f>
        <v>35142396</v>
      </c>
      <c r="C1732" s="2" t="str">
        <f>"백가온"</f>
        <v>백가온</v>
      </c>
      <c r="D1732" s="2" t="str">
        <f>"F"</f>
        <v>F</v>
      </c>
      <c r="E1732" s="2" t="str">
        <f>"20010312"</f>
        <v>20010312</v>
      </c>
      <c r="F1732" s="2" t="str">
        <f>"24"</f>
        <v>24</v>
      </c>
      <c r="G1732" s="2" t="str">
        <f t="shared" si="378"/>
        <v>E78660</v>
      </c>
      <c r="H1732" s="2" t="str">
        <f t="shared" si="379"/>
        <v>가톨릭대학교 서울성모병원</v>
      </c>
      <c r="I1732" s="2" t="str">
        <f>"배치후"</f>
        <v>배치후</v>
      </c>
    </row>
    <row r="1733" spans="1:9" x14ac:dyDescent="0.3">
      <c r="A1733" s="2" t="str">
        <f t="shared" si="380"/>
        <v>20251126</v>
      </c>
      <c r="B1733" s="2" t="str">
        <f>"36619424"</f>
        <v>36619424</v>
      </c>
      <c r="C1733" s="2" t="str">
        <f>"박성필"</f>
        <v>박성필</v>
      </c>
      <c r="D1733" s="2" t="str">
        <f>"M"</f>
        <v>M</v>
      </c>
      <c r="E1733" s="2" t="str">
        <f>"19920710"</f>
        <v>19920710</v>
      </c>
      <c r="F1733" s="2" t="str">
        <f>"33"</f>
        <v>33</v>
      </c>
      <c r="G1733" s="2" t="str">
        <f t="shared" si="378"/>
        <v>E78660</v>
      </c>
      <c r="H1733" s="2" t="str">
        <f t="shared" si="379"/>
        <v>가톨릭대학교 서울성모병원</v>
      </c>
      <c r="I1733" s="2" t="str">
        <f>"배치후"</f>
        <v>배치후</v>
      </c>
    </row>
    <row r="1734" spans="1:9" x14ac:dyDescent="0.3">
      <c r="A1734" s="2" t="str">
        <f t="shared" si="380"/>
        <v>20251126</v>
      </c>
      <c r="B1734" s="2" t="str">
        <f>"40955031"</f>
        <v>40955031</v>
      </c>
      <c r="C1734" s="2" t="str">
        <f>"황유정"</f>
        <v>황유정</v>
      </c>
      <c r="D1734" s="2" t="str">
        <f t="shared" ref="D1734:D1741" si="381">"F"</f>
        <v>F</v>
      </c>
      <c r="E1734" s="2" t="str">
        <f>"20001220"</f>
        <v>20001220</v>
      </c>
      <c r="F1734" s="2" t="str">
        <f>"24"</f>
        <v>24</v>
      </c>
      <c r="G1734" s="2" t="str">
        <f t="shared" si="378"/>
        <v>E78660</v>
      </c>
      <c r="H1734" s="2" t="str">
        <f t="shared" si="379"/>
        <v>가톨릭대학교 서울성모병원</v>
      </c>
      <c r="I1734" s="2" t="str">
        <f>"배치후"</f>
        <v>배치후</v>
      </c>
    </row>
    <row r="1735" spans="1:9" x14ac:dyDescent="0.3">
      <c r="A1735" s="2" t="str">
        <f t="shared" si="380"/>
        <v>20251126</v>
      </c>
      <c r="B1735" s="2" t="str">
        <f>"41479932"</f>
        <v>41479932</v>
      </c>
      <c r="C1735" s="2" t="str">
        <f>"정어진"</f>
        <v>정어진</v>
      </c>
      <c r="D1735" s="2" t="str">
        <f t="shared" si="381"/>
        <v>F</v>
      </c>
      <c r="E1735" s="2" t="str">
        <f>"20011019"</f>
        <v>20011019</v>
      </c>
      <c r="F1735" s="2" t="str">
        <f>"24"</f>
        <v>24</v>
      </c>
      <c r="G1735" s="2" t="str">
        <f t="shared" si="378"/>
        <v>E78660</v>
      </c>
      <c r="H1735" s="2" t="str">
        <f t="shared" si="379"/>
        <v>가톨릭대학교 서울성모병원</v>
      </c>
      <c r="I1735" s="2" t="str">
        <f>"배치전"</f>
        <v>배치전</v>
      </c>
    </row>
    <row r="1736" spans="1:9" x14ac:dyDescent="0.3">
      <c r="A1736" s="2" t="str">
        <f t="shared" si="380"/>
        <v>20251126</v>
      </c>
      <c r="B1736" s="2" t="str">
        <f>"41506145"</f>
        <v>41506145</v>
      </c>
      <c r="C1736" s="2" t="str">
        <f>"김소현"</f>
        <v>김소현</v>
      </c>
      <c r="D1736" s="2" t="str">
        <f t="shared" si="381"/>
        <v>F</v>
      </c>
      <c r="E1736" s="2" t="str">
        <f>"19980226"</f>
        <v>19980226</v>
      </c>
      <c r="F1736" s="2" t="str">
        <f>"27"</f>
        <v>27</v>
      </c>
      <c r="G1736" s="2" t="str">
        <f t="shared" si="378"/>
        <v>E78660</v>
      </c>
      <c r="H1736" s="2" t="str">
        <f t="shared" si="379"/>
        <v>가톨릭대학교 서울성모병원</v>
      </c>
      <c r="I1736" s="2" t="str">
        <f>"배치전"</f>
        <v>배치전</v>
      </c>
    </row>
    <row r="1737" spans="1:9" x14ac:dyDescent="0.3">
      <c r="A1737" s="2" t="str">
        <f t="shared" ref="A1737:A1745" si="382">"20251223"</f>
        <v>20251223</v>
      </c>
      <c r="B1737" s="2" t="str">
        <f>"18979396"</f>
        <v>18979396</v>
      </c>
      <c r="C1737" s="2" t="str">
        <f>"김미란"</f>
        <v>김미란</v>
      </c>
      <c r="D1737" s="2" t="str">
        <f t="shared" si="381"/>
        <v>F</v>
      </c>
      <c r="E1737" s="2" t="str">
        <f>"19830803"</f>
        <v>19830803</v>
      </c>
      <c r="F1737" s="2" t="str">
        <f>"42"</f>
        <v>42</v>
      </c>
      <c r="G1737" s="2" t="str">
        <f t="shared" si="378"/>
        <v>E78660</v>
      </c>
      <c r="H1737" s="2" t="str">
        <f t="shared" si="379"/>
        <v>가톨릭대학교 서울성모병원</v>
      </c>
      <c r="I1737" s="2" t="str">
        <f>"배치전"</f>
        <v>배치전</v>
      </c>
    </row>
    <row r="1738" spans="1:9" x14ac:dyDescent="0.3">
      <c r="A1738" s="2" t="str">
        <f t="shared" si="382"/>
        <v>20251223</v>
      </c>
      <c r="B1738" s="2" t="str">
        <f>"24122072"</f>
        <v>24122072</v>
      </c>
      <c r="C1738" s="2" t="str">
        <f>"송영은"</f>
        <v>송영은</v>
      </c>
      <c r="D1738" s="2" t="str">
        <f t="shared" si="381"/>
        <v>F</v>
      </c>
      <c r="E1738" s="2" t="str">
        <f>"19880915"</f>
        <v>19880915</v>
      </c>
      <c r="F1738" s="2" t="str">
        <f>"37"</f>
        <v>37</v>
      </c>
      <c r="G1738" s="2" t="str">
        <f t="shared" si="378"/>
        <v>E78660</v>
      </c>
      <c r="H1738" s="2" t="str">
        <f t="shared" si="379"/>
        <v>가톨릭대학교 서울성모병원</v>
      </c>
      <c r="I1738" s="2" t="str">
        <f>"배치전"</f>
        <v>배치전</v>
      </c>
    </row>
    <row r="1739" spans="1:9" x14ac:dyDescent="0.3">
      <c r="A1739" s="2" t="str">
        <f t="shared" si="382"/>
        <v>20251223</v>
      </c>
      <c r="B1739" s="2" t="str">
        <f>"30794712"</f>
        <v>30794712</v>
      </c>
      <c r="C1739" s="2" t="str">
        <f>"김예린"</f>
        <v>김예린</v>
      </c>
      <c r="D1739" s="2" t="str">
        <f t="shared" si="381"/>
        <v>F</v>
      </c>
      <c r="E1739" s="2" t="str">
        <f>"19980712"</f>
        <v>19980712</v>
      </c>
      <c r="F1739" s="2" t="str">
        <f>"27"</f>
        <v>27</v>
      </c>
      <c r="G1739" s="2" t="str">
        <f t="shared" si="378"/>
        <v>E78660</v>
      </c>
      <c r="H1739" s="2" t="str">
        <f t="shared" si="379"/>
        <v>가톨릭대학교 서울성모병원</v>
      </c>
      <c r="I1739" s="2" t="str">
        <f>"배치전"</f>
        <v>배치전</v>
      </c>
    </row>
    <row r="1740" spans="1:9" x14ac:dyDescent="0.3">
      <c r="A1740" s="2" t="str">
        <f t="shared" si="382"/>
        <v>20251223</v>
      </c>
      <c r="B1740" s="2" t="str">
        <f>"40778356"</f>
        <v>40778356</v>
      </c>
      <c r="C1740" s="2" t="str">
        <f>"이혜원"</f>
        <v>이혜원</v>
      </c>
      <c r="D1740" s="2" t="str">
        <f t="shared" si="381"/>
        <v>F</v>
      </c>
      <c r="E1740" s="2" t="str">
        <f>"19971217"</f>
        <v>19971217</v>
      </c>
      <c r="F1740" s="2" t="str">
        <f>"28"</f>
        <v>28</v>
      </c>
      <c r="G1740" s="2" t="str">
        <f t="shared" si="378"/>
        <v>E78660</v>
      </c>
      <c r="H1740" s="2" t="str">
        <f t="shared" si="379"/>
        <v>가톨릭대학교 서울성모병원</v>
      </c>
      <c r="I1740" s="2" t="str">
        <f>"배치후"</f>
        <v>배치후</v>
      </c>
    </row>
    <row r="1741" spans="1:9" x14ac:dyDescent="0.3">
      <c r="A1741" s="2" t="str">
        <f t="shared" si="382"/>
        <v>20251223</v>
      </c>
      <c r="B1741" s="2" t="str">
        <f>"41031071"</f>
        <v>41031071</v>
      </c>
      <c r="C1741" s="2" t="str">
        <f>"김경은"</f>
        <v>김경은</v>
      </c>
      <c r="D1741" s="2" t="str">
        <f t="shared" si="381"/>
        <v>F</v>
      </c>
      <c r="E1741" s="2" t="str">
        <f>"19750520"</f>
        <v>19750520</v>
      </c>
      <c r="F1741" s="2" t="str">
        <f>"50"</f>
        <v>50</v>
      </c>
      <c r="G1741" s="2" t="str">
        <f t="shared" si="378"/>
        <v>E78660</v>
      </c>
      <c r="H1741" s="2" t="str">
        <f t="shared" si="379"/>
        <v>가톨릭대학교 서울성모병원</v>
      </c>
      <c r="I1741" s="2" t="str">
        <f>"배치후"</f>
        <v>배치후</v>
      </c>
    </row>
    <row r="1742" spans="1:9" x14ac:dyDescent="0.3">
      <c r="A1742" s="2" t="str">
        <f t="shared" si="382"/>
        <v>20251223</v>
      </c>
      <c r="B1742" s="2" t="str">
        <f>"41583743"</f>
        <v>41583743</v>
      </c>
      <c r="C1742" s="2" t="str">
        <f>"신재민"</f>
        <v>신재민</v>
      </c>
      <c r="D1742" s="2" t="str">
        <f>"M"</f>
        <v>M</v>
      </c>
      <c r="E1742" s="2" t="str">
        <f>"19990817"</f>
        <v>19990817</v>
      </c>
      <c r="F1742" s="2" t="str">
        <f>"26"</f>
        <v>26</v>
      </c>
      <c r="G1742" s="2" t="str">
        <f t="shared" si="378"/>
        <v>E78660</v>
      </c>
      <c r="H1742" s="2" t="str">
        <f t="shared" si="379"/>
        <v>가톨릭대학교 서울성모병원</v>
      </c>
      <c r="I1742" s="2" t="str">
        <f>"배치전"</f>
        <v>배치전</v>
      </c>
    </row>
    <row r="1743" spans="1:9" x14ac:dyDescent="0.3">
      <c r="A1743" s="2" t="str">
        <f t="shared" si="382"/>
        <v>20251223</v>
      </c>
      <c r="B1743" s="2" t="str">
        <f>"41583761"</f>
        <v>41583761</v>
      </c>
      <c r="C1743" s="2" t="str">
        <f>"김제하"</f>
        <v>김제하</v>
      </c>
      <c r="D1743" s="2" t="str">
        <f>"M"</f>
        <v>M</v>
      </c>
      <c r="E1743" s="2" t="str">
        <f>"19980904"</f>
        <v>19980904</v>
      </c>
      <c r="F1743" s="2" t="str">
        <f>"27"</f>
        <v>27</v>
      </c>
      <c r="G1743" s="2" t="str">
        <f t="shared" si="378"/>
        <v>E78660</v>
      </c>
      <c r="H1743" s="2" t="str">
        <f t="shared" si="379"/>
        <v>가톨릭대학교 서울성모병원</v>
      </c>
      <c r="I1743" s="2" t="str">
        <f>"배치전"</f>
        <v>배치전</v>
      </c>
    </row>
    <row r="1744" spans="1:9" x14ac:dyDescent="0.3">
      <c r="A1744" s="2" t="str">
        <f t="shared" si="382"/>
        <v>20251223</v>
      </c>
      <c r="B1744" s="2" t="str">
        <f>"41587104"</f>
        <v>41587104</v>
      </c>
      <c r="C1744" s="2" t="str">
        <f>"손미자"</f>
        <v>손미자</v>
      </c>
      <c r="D1744" s="2" t="str">
        <f t="shared" ref="D1744:D1751" si="383">"F"</f>
        <v>F</v>
      </c>
      <c r="E1744" s="2" t="str">
        <f>"19680925"</f>
        <v>19680925</v>
      </c>
      <c r="F1744" s="2" t="str">
        <f>"57"</f>
        <v>57</v>
      </c>
      <c r="G1744" s="2" t="str">
        <f t="shared" si="378"/>
        <v>E78660</v>
      </c>
      <c r="H1744" s="2" t="str">
        <f t="shared" si="379"/>
        <v>가톨릭대학교 서울성모병원</v>
      </c>
      <c r="I1744" s="2" t="str">
        <f>"배치전"</f>
        <v>배치전</v>
      </c>
    </row>
    <row r="1745" spans="1:9" x14ac:dyDescent="0.3">
      <c r="A1745" s="2" t="str">
        <f t="shared" si="382"/>
        <v>20251223</v>
      </c>
      <c r="B1745" s="2" t="str">
        <f>"41587116"</f>
        <v>41587116</v>
      </c>
      <c r="C1745" s="2" t="str">
        <f>"이주연"</f>
        <v>이주연</v>
      </c>
      <c r="D1745" s="2" t="str">
        <f t="shared" si="383"/>
        <v>F</v>
      </c>
      <c r="E1745" s="2" t="str">
        <f>"19730222"</f>
        <v>19730222</v>
      </c>
      <c r="F1745" s="2" t="str">
        <f>"52"</f>
        <v>52</v>
      </c>
      <c r="G1745" s="2" t="str">
        <f t="shared" si="378"/>
        <v>E78660</v>
      </c>
      <c r="H1745" s="2" t="str">
        <f t="shared" si="379"/>
        <v>가톨릭대학교 서울성모병원</v>
      </c>
      <c r="I1745" s="2" t="str">
        <f>"배치전"</f>
        <v>배치전</v>
      </c>
    </row>
    <row r="1746" spans="1:9" x14ac:dyDescent="0.3">
      <c r="A1746" s="2" t="str">
        <f t="shared" ref="A1746:A1752" si="384">"20251224"</f>
        <v>20251224</v>
      </c>
      <c r="B1746" s="2" t="str">
        <f>"21821832"</f>
        <v>21821832</v>
      </c>
      <c r="C1746" s="2" t="str">
        <f>"최진희"</f>
        <v>최진희</v>
      </c>
      <c r="D1746" s="2" t="str">
        <f t="shared" si="383"/>
        <v>F</v>
      </c>
      <c r="E1746" s="2" t="str">
        <f>"19861025"</f>
        <v>19861025</v>
      </c>
      <c r="F1746" s="2" t="str">
        <f>"39"</f>
        <v>39</v>
      </c>
      <c r="G1746" s="2" t="str">
        <f t="shared" si="378"/>
        <v>E78660</v>
      </c>
      <c r="H1746" s="2" t="str">
        <f t="shared" si="379"/>
        <v>가톨릭대학교 서울성모병원</v>
      </c>
      <c r="I1746" s="2" t="str">
        <f>"배치전"</f>
        <v>배치전</v>
      </c>
    </row>
    <row r="1747" spans="1:9" x14ac:dyDescent="0.3">
      <c r="A1747" s="2" t="str">
        <f t="shared" si="384"/>
        <v>20251224</v>
      </c>
      <c r="B1747" s="2" t="str">
        <f>"22405444"</f>
        <v>22405444</v>
      </c>
      <c r="C1747" s="2" t="str">
        <f>"김혜빈"</f>
        <v>김혜빈</v>
      </c>
      <c r="D1747" s="2" t="str">
        <f t="shared" si="383"/>
        <v>F</v>
      </c>
      <c r="E1747" s="2" t="str">
        <f>"19890124"</f>
        <v>19890124</v>
      </c>
      <c r="F1747" s="2" t="str">
        <f>"36"</f>
        <v>36</v>
      </c>
      <c r="G1747" s="2" t="str">
        <f t="shared" si="378"/>
        <v>E78660</v>
      </c>
      <c r="H1747" s="2" t="str">
        <f t="shared" si="379"/>
        <v>가톨릭대학교 서울성모병원</v>
      </c>
      <c r="I1747" s="2" t="str">
        <f>"배치후"</f>
        <v>배치후</v>
      </c>
    </row>
    <row r="1748" spans="1:9" x14ac:dyDescent="0.3">
      <c r="A1748" s="2" t="str">
        <f t="shared" si="384"/>
        <v>20251224</v>
      </c>
      <c r="B1748" s="2" t="str">
        <f>"35467711"</f>
        <v>35467711</v>
      </c>
      <c r="C1748" s="2" t="str">
        <f>"조예진"</f>
        <v>조예진</v>
      </c>
      <c r="D1748" s="2" t="str">
        <f t="shared" si="383"/>
        <v>F</v>
      </c>
      <c r="E1748" s="2" t="str">
        <f>"19971017"</f>
        <v>19971017</v>
      </c>
      <c r="F1748" s="2" t="str">
        <f>"28"</f>
        <v>28</v>
      </c>
      <c r="G1748" s="2" t="str">
        <f t="shared" si="378"/>
        <v>E78660</v>
      </c>
      <c r="H1748" s="2" t="str">
        <f t="shared" si="379"/>
        <v>가톨릭대학교 서울성모병원</v>
      </c>
      <c r="I1748" s="2" t="str">
        <f>"배치후"</f>
        <v>배치후</v>
      </c>
    </row>
    <row r="1749" spans="1:9" x14ac:dyDescent="0.3">
      <c r="A1749" s="2" t="str">
        <f t="shared" si="384"/>
        <v>20251224</v>
      </c>
      <c r="B1749" s="2" t="str">
        <f>"35734033"</f>
        <v>35734033</v>
      </c>
      <c r="C1749" s="2" t="str">
        <f>"류선미"</f>
        <v>류선미</v>
      </c>
      <c r="D1749" s="2" t="str">
        <f t="shared" si="383"/>
        <v>F</v>
      </c>
      <c r="E1749" s="2" t="str">
        <f>"20020206"</f>
        <v>20020206</v>
      </c>
      <c r="F1749" s="2" t="str">
        <f>"23"</f>
        <v>23</v>
      </c>
      <c r="G1749" s="2" t="str">
        <f t="shared" si="378"/>
        <v>E78660</v>
      </c>
      <c r="H1749" s="2" t="str">
        <f t="shared" si="379"/>
        <v>가톨릭대학교 서울성모병원</v>
      </c>
      <c r="I1749" s="2" t="str">
        <f>"배치후"</f>
        <v>배치후</v>
      </c>
    </row>
    <row r="1750" spans="1:9" x14ac:dyDescent="0.3">
      <c r="A1750" s="2" t="str">
        <f t="shared" si="384"/>
        <v>20251224</v>
      </c>
      <c r="B1750" s="2" t="str">
        <f>"35734566"</f>
        <v>35734566</v>
      </c>
      <c r="C1750" s="2" t="str">
        <f>"공현수"</f>
        <v>공현수</v>
      </c>
      <c r="D1750" s="2" t="str">
        <f t="shared" si="383"/>
        <v>F</v>
      </c>
      <c r="E1750" s="2" t="str">
        <f>"20010114"</f>
        <v>20010114</v>
      </c>
      <c r="F1750" s="2" t="str">
        <f>"24"</f>
        <v>24</v>
      </c>
      <c r="G1750" s="2" t="str">
        <f t="shared" si="378"/>
        <v>E78660</v>
      </c>
      <c r="H1750" s="2" t="str">
        <f t="shared" si="379"/>
        <v>가톨릭대학교 서울성모병원</v>
      </c>
      <c r="I1750" s="2" t="str">
        <f>"배치후"</f>
        <v>배치후</v>
      </c>
    </row>
    <row r="1751" spans="1:9" x14ac:dyDescent="0.3">
      <c r="A1751" s="2" t="str">
        <f t="shared" si="384"/>
        <v>20251224</v>
      </c>
      <c r="B1751" s="2" t="str">
        <f>"41595973"</f>
        <v>41595973</v>
      </c>
      <c r="C1751" s="2" t="str">
        <f>"박은수"</f>
        <v>박은수</v>
      </c>
      <c r="D1751" s="2" t="str">
        <f t="shared" si="383"/>
        <v>F</v>
      </c>
      <c r="E1751" s="2" t="str">
        <f>"19990511"</f>
        <v>19990511</v>
      </c>
      <c r="F1751" s="2" t="str">
        <f>"26"</f>
        <v>26</v>
      </c>
      <c r="G1751" s="2" t="str">
        <f t="shared" si="378"/>
        <v>E78660</v>
      </c>
      <c r="H1751" s="2" t="str">
        <f t="shared" si="379"/>
        <v>가톨릭대학교 서울성모병원</v>
      </c>
      <c r="I1751" s="2" t="str">
        <f>"배치전"</f>
        <v>배치전</v>
      </c>
    </row>
    <row r="1752" spans="1:9" x14ac:dyDescent="0.3">
      <c r="A1752" s="2" t="str">
        <f t="shared" si="384"/>
        <v>20251224</v>
      </c>
      <c r="B1752" s="2" t="str">
        <f>"41601453"</f>
        <v>41601453</v>
      </c>
      <c r="C1752" s="2" t="str">
        <f>"이재경"</f>
        <v>이재경</v>
      </c>
      <c r="D1752" s="2" t="str">
        <f>"M"</f>
        <v>M</v>
      </c>
      <c r="E1752" s="2" t="str">
        <f>"20010318"</f>
        <v>20010318</v>
      </c>
      <c r="F1752" s="2" t="str">
        <f>"24"</f>
        <v>24</v>
      </c>
      <c r="G1752" s="2" t="str">
        <f t="shared" si="378"/>
        <v>E78660</v>
      </c>
      <c r="H1752" s="2" t="str">
        <f t="shared" si="379"/>
        <v>가톨릭대학교 서울성모병원</v>
      </c>
      <c r="I1752" s="2" t="str">
        <f>"배치전"</f>
        <v>배치전</v>
      </c>
    </row>
    <row r="1753" spans="1:9" x14ac:dyDescent="0.3">
      <c r="A1753" s="2" t="str">
        <f t="shared" ref="A1753:A1764" si="385">"20251229"</f>
        <v>20251229</v>
      </c>
      <c r="B1753" s="2" t="str">
        <f>"12858802"</f>
        <v>12858802</v>
      </c>
      <c r="C1753" s="2" t="str">
        <f>"이형남"</f>
        <v>이형남</v>
      </c>
      <c r="D1753" s="2" t="str">
        <f t="shared" ref="D1753:D1763" si="386">"F"</f>
        <v>F</v>
      </c>
      <c r="E1753" s="2" t="str">
        <f>"19740504"</f>
        <v>19740504</v>
      </c>
      <c r="F1753" s="2" t="str">
        <f>"51"</f>
        <v>51</v>
      </c>
      <c r="G1753" s="2" t="str">
        <f>"E78670"</f>
        <v>E78670</v>
      </c>
      <c r="H1753" s="2" t="str">
        <f>"(학)가톨릭중앙의료원"</f>
        <v>(학)가톨릭중앙의료원</v>
      </c>
      <c r="I1753" s="2" t="str">
        <f>"특수"</f>
        <v>특수</v>
      </c>
    </row>
    <row r="1754" spans="1:9" x14ac:dyDescent="0.3">
      <c r="A1754" s="2" t="str">
        <f t="shared" si="385"/>
        <v>20251229</v>
      </c>
      <c r="B1754" s="2" t="str">
        <f>"13023138"</f>
        <v>13023138</v>
      </c>
      <c r="C1754" s="2" t="str">
        <f>"전성윤"</f>
        <v>전성윤</v>
      </c>
      <c r="D1754" s="2" t="str">
        <f t="shared" si="386"/>
        <v>F</v>
      </c>
      <c r="E1754" s="2" t="str">
        <f>"19750914"</f>
        <v>19750914</v>
      </c>
      <c r="F1754" s="2" t="str">
        <f>"50"</f>
        <v>50</v>
      </c>
      <c r="G1754" s="2" t="str">
        <f>"E78670"</f>
        <v>E78670</v>
      </c>
      <c r="H1754" s="2" t="str">
        <f>"(학)가톨릭중앙의료원"</f>
        <v>(학)가톨릭중앙의료원</v>
      </c>
      <c r="I1754" s="2" t="str">
        <f>"특수"</f>
        <v>특수</v>
      </c>
    </row>
    <row r="1755" spans="1:9" x14ac:dyDescent="0.3">
      <c r="A1755" s="2" t="str">
        <f t="shared" si="385"/>
        <v>20251229</v>
      </c>
      <c r="B1755" s="2" t="str">
        <f>"17913596"</f>
        <v>17913596</v>
      </c>
      <c r="C1755" s="2" t="str">
        <f>"주영신"</f>
        <v>주영신</v>
      </c>
      <c r="D1755" s="2" t="str">
        <f t="shared" si="386"/>
        <v>F</v>
      </c>
      <c r="E1755" s="2" t="str">
        <f>"19770818"</f>
        <v>19770818</v>
      </c>
      <c r="F1755" s="2" t="str">
        <f>"48"</f>
        <v>48</v>
      </c>
      <c r="G1755" s="2" t="str">
        <f>"E78670"</f>
        <v>E78670</v>
      </c>
      <c r="H1755" s="2" t="str">
        <f>"(학)가톨릭중앙의료원"</f>
        <v>(학)가톨릭중앙의료원</v>
      </c>
      <c r="I1755" s="2" t="str">
        <f>"특수"</f>
        <v>특수</v>
      </c>
    </row>
    <row r="1756" spans="1:9" x14ac:dyDescent="0.3">
      <c r="A1756" s="2" t="str">
        <f t="shared" si="385"/>
        <v>20251229</v>
      </c>
      <c r="B1756" s="2" t="str">
        <f>"26070690"</f>
        <v>26070690</v>
      </c>
      <c r="C1756" s="2" t="str">
        <f>"권순영"</f>
        <v>권순영</v>
      </c>
      <c r="D1756" s="2" t="str">
        <f t="shared" si="386"/>
        <v>F</v>
      </c>
      <c r="E1756" s="2" t="str">
        <f>"19891123"</f>
        <v>19891123</v>
      </c>
      <c r="F1756" s="2" t="str">
        <f>"36"</f>
        <v>36</v>
      </c>
      <c r="G1756" s="2" t="str">
        <f t="shared" ref="G1756:G1764" si="387">"E78660"</f>
        <v>E78660</v>
      </c>
      <c r="H1756" s="2" t="str">
        <f t="shared" ref="H1756:H1764" si="388">"가톨릭대학교 서울성모병원"</f>
        <v>가톨릭대학교 서울성모병원</v>
      </c>
      <c r="I1756" s="2" t="str">
        <f>"배치후"</f>
        <v>배치후</v>
      </c>
    </row>
    <row r="1757" spans="1:9" x14ac:dyDescent="0.3">
      <c r="A1757" s="2" t="str">
        <f t="shared" si="385"/>
        <v>20251229</v>
      </c>
      <c r="B1757" s="2" t="str">
        <f>"27840840"</f>
        <v>27840840</v>
      </c>
      <c r="C1757" s="2" t="str">
        <f>"이선우"</f>
        <v>이선우</v>
      </c>
      <c r="D1757" s="2" t="str">
        <f t="shared" si="386"/>
        <v>F</v>
      </c>
      <c r="E1757" s="2" t="str">
        <f>"19930601"</f>
        <v>19930601</v>
      </c>
      <c r="F1757" s="2" t="str">
        <f>"32"</f>
        <v>32</v>
      </c>
      <c r="G1757" s="2" t="str">
        <f t="shared" si="387"/>
        <v>E78660</v>
      </c>
      <c r="H1757" s="2" t="str">
        <f t="shared" si="388"/>
        <v>가톨릭대학교 서울성모병원</v>
      </c>
      <c r="I1757" s="2" t="str">
        <f>"배치후"</f>
        <v>배치후</v>
      </c>
    </row>
    <row r="1758" spans="1:9" x14ac:dyDescent="0.3">
      <c r="A1758" s="2" t="str">
        <f t="shared" si="385"/>
        <v>20251229</v>
      </c>
      <c r="B1758" s="2" t="str">
        <f>"32624924"</f>
        <v>32624924</v>
      </c>
      <c r="C1758" s="2" t="str">
        <f>"김남희"</f>
        <v>김남희</v>
      </c>
      <c r="D1758" s="2" t="str">
        <f t="shared" si="386"/>
        <v>F</v>
      </c>
      <c r="E1758" s="2" t="str">
        <f>"19921230"</f>
        <v>19921230</v>
      </c>
      <c r="F1758" s="2" t="str">
        <f>"33"</f>
        <v>33</v>
      </c>
      <c r="G1758" s="2" t="str">
        <f t="shared" si="387"/>
        <v>E78660</v>
      </c>
      <c r="H1758" s="2" t="str">
        <f t="shared" si="388"/>
        <v>가톨릭대학교 서울성모병원</v>
      </c>
      <c r="I1758" s="2" t="str">
        <f>"배치후"</f>
        <v>배치후</v>
      </c>
    </row>
    <row r="1759" spans="1:9" x14ac:dyDescent="0.3">
      <c r="A1759" s="2" t="str">
        <f t="shared" si="385"/>
        <v>20251229</v>
      </c>
      <c r="B1759" s="2" t="str">
        <f>"35237444"</f>
        <v>35237444</v>
      </c>
      <c r="C1759" s="2" t="str">
        <f>"김지연"</f>
        <v>김지연</v>
      </c>
      <c r="D1759" s="2" t="str">
        <f t="shared" si="386"/>
        <v>F</v>
      </c>
      <c r="E1759" s="2" t="str">
        <f>"19940623"</f>
        <v>19940623</v>
      </c>
      <c r="F1759" s="2" t="str">
        <f>"31"</f>
        <v>31</v>
      </c>
      <c r="G1759" s="2" t="str">
        <f t="shared" si="387"/>
        <v>E78660</v>
      </c>
      <c r="H1759" s="2" t="str">
        <f t="shared" si="388"/>
        <v>가톨릭대학교 서울성모병원</v>
      </c>
      <c r="I1759" s="2" t="str">
        <f>"배치후"</f>
        <v>배치후</v>
      </c>
    </row>
    <row r="1760" spans="1:9" x14ac:dyDescent="0.3">
      <c r="A1760" s="2" t="str">
        <f t="shared" si="385"/>
        <v>20251229</v>
      </c>
      <c r="B1760" s="2" t="str">
        <f>"35739212"</f>
        <v>35739212</v>
      </c>
      <c r="C1760" s="2" t="str">
        <f>"한지연"</f>
        <v>한지연</v>
      </c>
      <c r="D1760" s="2" t="str">
        <f t="shared" si="386"/>
        <v>F</v>
      </c>
      <c r="E1760" s="2" t="str">
        <f>"19960408"</f>
        <v>19960408</v>
      </c>
      <c r="F1760" s="2" t="str">
        <f>"29"</f>
        <v>29</v>
      </c>
      <c r="G1760" s="2" t="str">
        <f t="shared" si="387"/>
        <v>E78660</v>
      </c>
      <c r="H1760" s="2" t="str">
        <f t="shared" si="388"/>
        <v>가톨릭대학교 서울성모병원</v>
      </c>
      <c r="I1760" s="2" t="str">
        <f>"배치전"</f>
        <v>배치전</v>
      </c>
    </row>
    <row r="1761" spans="1:9" x14ac:dyDescent="0.3">
      <c r="A1761" s="2" t="str">
        <f t="shared" si="385"/>
        <v>20251229</v>
      </c>
      <c r="B1761" s="2" t="str">
        <f>"39535742"</f>
        <v>39535742</v>
      </c>
      <c r="C1761" s="2" t="str">
        <f>"노혜진"</f>
        <v>노혜진</v>
      </c>
      <c r="D1761" s="2" t="str">
        <f t="shared" si="386"/>
        <v>F</v>
      </c>
      <c r="E1761" s="2" t="str">
        <f>"19970226"</f>
        <v>19970226</v>
      </c>
      <c r="F1761" s="2" t="str">
        <f>"28"</f>
        <v>28</v>
      </c>
      <c r="G1761" s="2" t="str">
        <f t="shared" si="387"/>
        <v>E78660</v>
      </c>
      <c r="H1761" s="2" t="str">
        <f t="shared" si="388"/>
        <v>가톨릭대학교 서울성모병원</v>
      </c>
      <c r="I1761" s="2" t="str">
        <f>"배치후"</f>
        <v>배치후</v>
      </c>
    </row>
    <row r="1762" spans="1:9" x14ac:dyDescent="0.3">
      <c r="A1762" s="2" t="str">
        <f t="shared" si="385"/>
        <v>20251229</v>
      </c>
      <c r="B1762" s="2" t="str">
        <f>"40754372"</f>
        <v>40754372</v>
      </c>
      <c r="C1762" s="2" t="str">
        <f>"남인희"</f>
        <v>남인희</v>
      </c>
      <c r="D1762" s="2" t="str">
        <f t="shared" si="386"/>
        <v>F</v>
      </c>
      <c r="E1762" s="2" t="str">
        <f>"19981201"</f>
        <v>19981201</v>
      </c>
      <c r="F1762" s="2" t="str">
        <f>"27"</f>
        <v>27</v>
      </c>
      <c r="G1762" s="2" t="str">
        <f t="shared" si="387"/>
        <v>E78660</v>
      </c>
      <c r="H1762" s="2" t="str">
        <f t="shared" si="388"/>
        <v>가톨릭대학교 서울성모병원</v>
      </c>
      <c r="I1762" s="2" t="str">
        <f>"배치후"</f>
        <v>배치후</v>
      </c>
    </row>
    <row r="1763" spans="1:9" x14ac:dyDescent="0.3">
      <c r="A1763" s="2" t="str">
        <f t="shared" si="385"/>
        <v>20251229</v>
      </c>
      <c r="B1763" s="2" t="str">
        <f>"41601420"</f>
        <v>41601420</v>
      </c>
      <c r="C1763" s="2" t="str">
        <f>"신초이"</f>
        <v>신초이</v>
      </c>
      <c r="D1763" s="2" t="str">
        <f t="shared" si="386"/>
        <v>F</v>
      </c>
      <c r="E1763" s="2" t="str">
        <f>"19960104"</f>
        <v>19960104</v>
      </c>
      <c r="F1763" s="2" t="str">
        <f>"30"</f>
        <v>30</v>
      </c>
      <c r="G1763" s="2" t="str">
        <f t="shared" si="387"/>
        <v>E78660</v>
      </c>
      <c r="H1763" s="2" t="str">
        <f t="shared" si="388"/>
        <v>가톨릭대학교 서울성모병원</v>
      </c>
      <c r="I1763" s="2" t="str">
        <f>"배치전"</f>
        <v>배치전</v>
      </c>
    </row>
    <row r="1764" spans="1:9" x14ac:dyDescent="0.3">
      <c r="A1764" s="2" t="str">
        <f t="shared" si="385"/>
        <v>20251229</v>
      </c>
      <c r="B1764" s="2" t="str">
        <f>"41601602"</f>
        <v>41601602</v>
      </c>
      <c r="C1764" s="2" t="str">
        <f>"안준철"</f>
        <v>안준철</v>
      </c>
      <c r="D1764" s="2" t="str">
        <f>"M"</f>
        <v>M</v>
      </c>
      <c r="E1764" s="2" t="str">
        <f>"20000926"</f>
        <v>20000926</v>
      </c>
      <c r="F1764" s="2" t="str">
        <f>"25"</f>
        <v>25</v>
      </c>
      <c r="G1764" s="2" t="str">
        <f t="shared" si="387"/>
        <v>E78660</v>
      </c>
      <c r="H1764" s="2" t="str">
        <f t="shared" si="388"/>
        <v>가톨릭대학교 서울성모병원</v>
      </c>
      <c r="I1764" s="2" t="str">
        <f>"배치전"</f>
        <v>배치전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서울성모_24년~25년도 진폐정도관리_오경순_26.02.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직업환경의학팀_상담실</dc:creator>
  <cp:lastModifiedBy>cmc</cp:lastModifiedBy>
  <dcterms:created xsi:type="dcterms:W3CDTF">2026-02-03T04:31:07Z</dcterms:created>
  <dcterms:modified xsi:type="dcterms:W3CDTF">2026-02-03T04:31:19Z</dcterms:modified>
</cp:coreProperties>
</file>